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3"/>
  </bookViews>
  <sheets>
    <sheet name="Core" sheetId="1" r:id="rId1"/>
    <sheet name="Targeted" sheetId="2" r:id="rId2"/>
    <sheet name="Core_Targeted" sheetId="3" r:id="rId3"/>
    <sheet name="StdOffer" sheetId="4" r:id="rId4"/>
  </sheets>
  <definedNames>
    <definedName name="_xlnm.Print_Area" localSheetId="0">'Core'!$A$1:$H$58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<sst xmlns="http://schemas.openxmlformats.org/spreadsheetml/2006/main" count="323" uniqueCount="47">
  <si>
    <t>Bangor Hydro-Electric Company</t>
  </si>
  <si>
    <t>Billing Determinants:  Core Classes Only</t>
  </si>
  <si>
    <t xml:space="preserve">Jan 99  </t>
  </si>
  <si>
    <t xml:space="preserve">Feb 99  </t>
  </si>
  <si>
    <t xml:space="preserve">Mar 99  </t>
  </si>
  <si>
    <t xml:space="preserve">Apr 99  </t>
  </si>
  <si>
    <t>Total 99</t>
  </si>
  <si>
    <t>Large Power Secondary</t>
  </si>
  <si>
    <t>Secondary</t>
  </si>
  <si>
    <t>meters</t>
  </si>
  <si>
    <t>billed kWh</t>
  </si>
  <si>
    <t>billed kW</t>
  </si>
  <si>
    <t>Large Power Primary</t>
  </si>
  <si>
    <t>Primary</t>
  </si>
  <si>
    <t>Primary Power</t>
  </si>
  <si>
    <t>total kWh</t>
  </si>
  <si>
    <t>Pk billed kWh</t>
  </si>
  <si>
    <t>Sh billed kWh</t>
  </si>
  <si>
    <t>OP billed kWh</t>
  </si>
  <si>
    <t>Pk billed kW</t>
  </si>
  <si>
    <t>Sh billed kW</t>
  </si>
  <si>
    <t>OP billed kW</t>
  </si>
  <si>
    <t>Primary Power (Voltage Discount)</t>
  </si>
  <si>
    <t>Subtransmission</t>
  </si>
  <si>
    <t>Total Large Industrial</t>
  </si>
  <si>
    <t>Transmission</t>
  </si>
  <si>
    <t xml:space="preserve">   Total Power</t>
  </si>
  <si>
    <t>Billing Determinants:  Combined Targeted Rates by Rate Type</t>
  </si>
  <si>
    <t>Total Competitive Energy - LPS</t>
  </si>
  <si>
    <t xml:space="preserve">   demands available</t>
  </si>
  <si>
    <t xml:space="preserve">   demands unavailable</t>
  </si>
  <si>
    <t>Total Competitive Energy - LPP</t>
  </si>
  <si>
    <t>Total Competitive Energy - PP/Lg Ind</t>
  </si>
  <si>
    <t xml:space="preserve">   Total Targeted Rates</t>
  </si>
  <si>
    <t>Billing Determinants:  Targeted Rates Combined into Core Rates</t>
  </si>
  <si>
    <t>Total Large Power Secondary</t>
  </si>
  <si>
    <t>Total Primary Power</t>
  </si>
  <si>
    <t>max kWh</t>
  </si>
  <si>
    <t>Total Power</t>
  </si>
  <si>
    <t>Billing Determinants:  All Rates Combined into Standard Offer Groups</t>
  </si>
  <si>
    <t>Total Residential</t>
  </si>
  <si>
    <t>Total General Service</t>
  </si>
  <si>
    <t>Total Lighting</t>
  </si>
  <si>
    <t xml:space="preserve">   Total Residential/Small Commercial</t>
  </si>
  <si>
    <t xml:space="preserve">   Total Medium Non-Residential</t>
  </si>
  <si>
    <t xml:space="preserve">   Total Large Non-Residential</t>
  </si>
  <si>
    <t>Total Bangor Hydro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</si>
</sst>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2"/>
      <name val="Arial"/>
      <family val="0"/>
    </font>
    <font>
      <sz val="10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1" xfId="0" applyFont="1" applyBorder="1" applyAlignment="1" applyProtection="1">
      <alignment/>
      <protection/>
    </xf>
    <xf numFmtId="0" fontId="0" fillId="0" borderId="2" xfId="0" applyFont="1" applyBorder="1" applyAlignment="1" applyProtection="1">
      <alignment/>
      <protection/>
    </xf>
    <xf numFmtId="0" fontId="0" fillId="0" borderId="3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4" xfId="0" applyFont="1" applyBorder="1" applyAlignment="1" applyProtection="1">
      <alignment/>
      <protection/>
    </xf>
    <xf numFmtId="0" fontId="0" fillId="0" borderId="5" xfId="0" applyFont="1" applyBorder="1" applyAlignment="1" applyProtection="1">
      <alignment/>
      <protection/>
    </xf>
    <xf numFmtId="0" fontId="0" fillId="0" borderId="0" xfId="0" applyFont="1" applyAlignment="1" applyProtection="1">
      <alignment horizontal="right"/>
      <protection/>
    </xf>
    <xf numFmtId="0" fontId="0" fillId="0" borderId="5" xfId="0" applyFont="1" applyBorder="1" applyAlignment="1" applyProtection="1">
      <alignment horizontal="right"/>
      <protection/>
    </xf>
    <xf numFmtId="0" fontId="0" fillId="0" borderId="2" xfId="0" applyFont="1" applyBorder="1" applyAlignment="1" applyProtection="1">
      <alignment horizontal="center"/>
      <protection/>
    </xf>
    <xf numFmtId="37" fontId="0" fillId="0" borderId="2" xfId="0" applyNumberFormat="1" applyFont="1" applyBorder="1" applyAlignment="1" applyProtection="1">
      <alignment/>
      <protection/>
    </xf>
    <xf numFmtId="37" fontId="0" fillId="0" borderId="3" xfId="0" applyNumberFormat="1" applyFont="1" applyBorder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37" fontId="0" fillId="0" borderId="0" xfId="0" applyNumberFormat="1" applyFont="1" applyAlignment="1" applyProtection="1">
      <alignment/>
      <protection/>
    </xf>
    <xf numFmtId="37" fontId="0" fillId="0" borderId="5" xfId="0" applyNumberFormat="1" applyFont="1" applyBorder="1" applyAlignment="1" applyProtection="1">
      <alignment/>
      <protection/>
    </xf>
    <xf numFmtId="37" fontId="2" fillId="0" borderId="2" xfId="0" applyNumberFormat="1" applyFont="1" applyBorder="1" applyAlignment="1" applyProtection="1">
      <alignment/>
      <protection/>
    </xf>
    <xf numFmtId="37" fontId="2" fillId="0" borderId="3" xfId="0" applyNumberFormat="1" applyFont="1" applyBorder="1" applyAlignment="1" applyProtection="1">
      <alignment/>
      <protection/>
    </xf>
    <xf numFmtId="0" fontId="2" fillId="0" borderId="6" xfId="0" applyFont="1" applyBorder="1" applyAlignment="1" applyProtection="1">
      <alignment/>
      <protection/>
    </xf>
    <xf numFmtId="0" fontId="2" fillId="0" borderId="7" xfId="0" applyFont="1" applyBorder="1" applyAlignment="1" applyProtection="1">
      <alignment/>
      <protection/>
    </xf>
    <xf numFmtId="0" fontId="0" fillId="0" borderId="7" xfId="0" applyFont="1" applyBorder="1" applyAlignment="1" applyProtection="1">
      <alignment/>
      <protection/>
    </xf>
    <xf numFmtId="37" fontId="2" fillId="0" borderId="7" xfId="0" applyNumberFormat="1" applyFont="1" applyBorder="1" applyAlignment="1" applyProtection="1">
      <alignment/>
      <protection/>
    </xf>
    <xf numFmtId="37" fontId="2" fillId="0" borderId="8" xfId="0" applyNumberFormat="1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37" fontId="2" fillId="0" borderId="0" xfId="0" applyNumberFormat="1" applyFont="1" applyAlignment="1" applyProtection="1">
      <alignment/>
      <protection/>
    </xf>
    <xf numFmtId="37" fontId="0" fillId="0" borderId="7" xfId="0" applyNumberFormat="1" applyFont="1" applyBorder="1" applyAlignment="1" applyProtection="1">
      <alignment/>
      <protection/>
    </xf>
    <xf numFmtId="37" fontId="0" fillId="0" borderId="8" xfId="0" applyNumberFormat="1" applyFont="1" applyBorder="1" applyAlignment="1" applyProtection="1">
      <alignment/>
      <protection/>
    </xf>
    <xf numFmtId="0" fontId="2" fillId="0" borderId="4" xfId="0" applyFont="1" applyBorder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37" fontId="2" fillId="0" borderId="5" xfId="0" applyNumberFormat="1" applyFont="1" applyBorder="1" applyAlignment="1" applyProtection="1">
      <alignment/>
      <protection/>
    </xf>
    <xf numFmtId="0" fontId="2" fillId="0" borderId="1" xfId="0" applyFont="1" applyBorder="1" applyAlignment="1" applyProtection="1">
      <alignment/>
      <protection/>
    </xf>
    <xf numFmtId="0" fontId="2" fillId="0" borderId="2" xfId="0" applyFont="1" applyBorder="1" applyAlignment="1" applyProtection="1">
      <alignment horizontal="center"/>
      <protection/>
    </xf>
    <xf numFmtId="0" fontId="0" fillId="0" borderId="6" xfId="0" applyFont="1" applyBorder="1" applyAlignment="1" applyProtection="1">
      <alignment/>
      <protection/>
    </xf>
    <xf numFmtId="0" fontId="0" fillId="0" borderId="7" xfId="0" applyFont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I59"/>
  <sheetViews>
    <sheetView defaultGridColor="0" zoomScale="87" zoomScaleNormal="87" colorId="22" workbookViewId="0" topLeftCell="A1">
      <selection activeCell="A1" sqref="A1"/>
    </sheetView>
  </sheetViews>
  <sheetFormatPr defaultColWidth="9.77734375" defaultRowHeight="15"/>
  <cols>
    <col min="1" max="1" width="28.77734375" style="0" customWidth="1"/>
    <col min="2" max="2" width="13.77734375" style="0" customWidth="1"/>
    <col min="3" max="3" width="11.77734375" style="0" customWidth="1"/>
    <col min="4" max="8" width="12.77734375" style="0" customWidth="1"/>
  </cols>
  <sheetData>
    <row r="1" spans="1:9" ht="15">
      <c r="A1" s="1"/>
      <c r="B1" s="2" t="s">
        <v>0</v>
      </c>
      <c r="C1" s="2"/>
      <c r="D1" s="2"/>
      <c r="E1" s="2"/>
      <c r="F1" s="2"/>
      <c r="G1" s="2"/>
      <c r="H1" s="3"/>
      <c r="I1" s="4"/>
    </row>
    <row r="2" spans="1:9" ht="15">
      <c r="A2" s="5"/>
      <c r="B2" s="4" t="s">
        <v>1</v>
      </c>
      <c r="C2" s="4"/>
      <c r="D2" s="4"/>
      <c r="E2" s="4"/>
      <c r="F2" s="4"/>
      <c r="G2" s="4"/>
      <c r="H2" s="6"/>
      <c r="I2" s="4"/>
    </row>
    <row r="3" spans="1:9" ht="15">
      <c r="A3" s="5"/>
      <c r="B3" s="4"/>
      <c r="C3" s="4"/>
      <c r="D3" s="4"/>
      <c r="E3" s="4"/>
      <c r="F3" s="4"/>
      <c r="G3" s="4"/>
      <c r="H3" s="6"/>
      <c r="I3" s="4"/>
    </row>
    <row r="4" spans="1:9" ht="15">
      <c r="A4" s="5"/>
      <c r="B4" s="4"/>
      <c r="C4" s="4"/>
      <c r="D4" s="7" t="s">
        <v>2</v>
      </c>
      <c r="E4" s="7" t="s">
        <v>3</v>
      </c>
      <c r="F4" s="7" t="s">
        <v>4</v>
      </c>
      <c r="G4" s="7" t="s">
        <v>5</v>
      </c>
      <c r="H4" s="8" t="s">
        <v>6</v>
      </c>
      <c r="I4" s="4"/>
    </row>
    <row r="5" spans="1:9" ht="15">
      <c r="A5" s="1" t="s">
        <v>7</v>
      </c>
      <c r="B5" s="9" t="s">
        <v>8</v>
      </c>
      <c r="C5" s="2"/>
      <c r="D5" s="10"/>
      <c r="E5" s="10"/>
      <c r="F5" s="10"/>
      <c r="G5" s="10"/>
      <c r="H5" s="11"/>
      <c r="I5" s="4"/>
    </row>
    <row r="6" spans="1:9" ht="15">
      <c r="A6" s="5"/>
      <c r="B6" s="12"/>
      <c r="C6" s="4" t="s">
        <v>9</v>
      </c>
      <c r="D6" s="13">
        <v>1129</v>
      </c>
      <c r="E6" s="13">
        <v>1107</v>
      </c>
      <c r="F6" s="13">
        <v>1180</v>
      </c>
      <c r="G6" s="13">
        <v>1247</v>
      </c>
      <c r="H6" s="14"/>
      <c r="I6" s="4"/>
    </row>
    <row r="7" spans="1:9" ht="15">
      <c r="A7" s="5"/>
      <c r="B7" s="12"/>
      <c r="C7" s="4" t="s">
        <v>10</v>
      </c>
      <c r="D7" s="13">
        <v>24337345</v>
      </c>
      <c r="E7" s="13">
        <v>20591173</v>
      </c>
      <c r="F7" s="13">
        <v>23024668</v>
      </c>
      <c r="G7" s="13">
        <v>22623709</v>
      </c>
      <c r="H7" s="14">
        <f>SUM(D7:G7)</f>
        <v>90576895</v>
      </c>
      <c r="I7" s="4"/>
    </row>
    <row r="8" spans="1:9" ht="15">
      <c r="A8" s="5"/>
      <c r="B8" s="12"/>
      <c r="C8" s="4" t="s">
        <v>11</v>
      </c>
      <c r="D8" s="13">
        <v>74501.8419999999</v>
      </c>
      <c r="E8" s="13">
        <v>73590.67</v>
      </c>
      <c r="F8" s="13">
        <v>76858.477</v>
      </c>
      <c r="G8" s="13">
        <v>87003.0379999999</v>
      </c>
      <c r="H8" s="14"/>
      <c r="I8" s="4"/>
    </row>
    <row r="9" spans="1:9" ht="15">
      <c r="A9" s="1" t="s">
        <v>12</v>
      </c>
      <c r="B9" s="9" t="s">
        <v>13</v>
      </c>
      <c r="C9" s="2"/>
      <c r="D9" s="10"/>
      <c r="E9" s="10"/>
      <c r="F9" s="10"/>
      <c r="G9" s="10"/>
      <c r="H9" s="11"/>
      <c r="I9" s="4"/>
    </row>
    <row r="10" spans="1:9" ht="15">
      <c r="A10" s="5"/>
      <c r="B10" s="12"/>
      <c r="C10" s="4" t="s">
        <v>9</v>
      </c>
      <c r="D10" s="13">
        <v>102</v>
      </c>
      <c r="E10" s="13">
        <v>103</v>
      </c>
      <c r="F10" s="13">
        <v>114</v>
      </c>
      <c r="G10" s="13">
        <v>113</v>
      </c>
      <c r="H10" s="14"/>
      <c r="I10" s="4"/>
    </row>
    <row r="11" spans="1:9" ht="15">
      <c r="A11" s="5"/>
      <c r="B11" s="12"/>
      <c r="C11" s="4" t="s">
        <v>10</v>
      </c>
      <c r="D11" s="13">
        <v>5873277</v>
      </c>
      <c r="E11" s="13">
        <v>4847638</v>
      </c>
      <c r="F11" s="13">
        <v>5141163</v>
      </c>
      <c r="G11" s="13">
        <v>4698204</v>
      </c>
      <c r="H11" s="14">
        <f>SUM(D11:G11)</f>
        <v>20560282</v>
      </c>
      <c r="I11" s="4"/>
    </row>
    <row r="12" spans="1:9" ht="15">
      <c r="A12" s="5"/>
      <c r="B12" s="12"/>
      <c r="C12" s="4" t="s">
        <v>11</v>
      </c>
      <c r="D12" s="13">
        <v>15827.304</v>
      </c>
      <c r="E12" s="13">
        <v>15541.877</v>
      </c>
      <c r="F12" s="13">
        <v>15904.453</v>
      </c>
      <c r="G12" s="13">
        <v>15629.537</v>
      </c>
      <c r="H12" s="14"/>
      <c r="I12" s="4"/>
    </row>
    <row r="13" spans="1:9" ht="15">
      <c r="A13" s="1" t="s">
        <v>14</v>
      </c>
      <c r="B13" s="9" t="s">
        <v>13</v>
      </c>
      <c r="C13" s="2"/>
      <c r="D13" s="10"/>
      <c r="E13" s="10"/>
      <c r="F13" s="10"/>
      <c r="G13" s="10"/>
      <c r="H13" s="11"/>
      <c r="I13" s="4"/>
    </row>
    <row r="14" spans="1:9" ht="15">
      <c r="A14" s="5"/>
      <c r="B14" s="12"/>
      <c r="C14" s="4" t="s">
        <v>9</v>
      </c>
      <c r="D14" s="13">
        <v>25</v>
      </c>
      <c r="E14" s="13">
        <v>25</v>
      </c>
      <c r="F14" s="13">
        <v>43</v>
      </c>
      <c r="G14" s="13">
        <v>35</v>
      </c>
      <c r="H14" s="14"/>
      <c r="I14" s="4"/>
    </row>
    <row r="15" spans="1:9" ht="15">
      <c r="A15" s="5"/>
      <c r="B15" s="12"/>
      <c r="C15" s="4" t="s">
        <v>15</v>
      </c>
      <c r="D15" s="13">
        <v>13200260</v>
      </c>
      <c r="E15" s="13">
        <v>10727260</v>
      </c>
      <c r="F15" s="13">
        <v>11593900</v>
      </c>
      <c r="G15" s="13">
        <v>16338720</v>
      </c>
      <c r="H15" s="14">
        <f>SUM(D15:G15)</f>
        <v>51860140</v>
      </c>
      <c r="I15" s="4"/>
    </row>
    <row r="16" spans="1:9" ht="15">
      <c r="A16" s="5"/>
      <c r="B16" s="12"/>
      <c r="C16" s="4" t="s">
        <v>16</v>
      </c>
      <c r="D16" s="13">
        <v>3785200</v>
      </c>
      <c r="E16" s="13">
        <v>3210040</v>
      </c>
      <c r="F16" s="13">
        <v>3600760</v>
      </c>
      <c r="G16" s="13">
        <v>4892820</v>
      </c>
      <c r="H16" s="14"/>
      <c r="I16" s="4"/>
    </row>
    <row r="17" spans="1:9" ht="15">
      <c r="A17" s="5"/>
      <c r="B17" s="12"/>
      <c r="C17" s="4" t="s">
        <v>17</v>
      </c>
      <c r="D17" s="13">
        <v>3963420</v>
      </c>
      <c r="E17" s="13">
        <v>3053420</v>
      </c>
      <c r="F17" s="13">
        <v>3399900</v>
      </c>
      <c r="G17" s="13">
        <v>4602340</v>
      </c>
      <c r="H17" s="14"/>
      <c r="I17" s="4"/>
    </row>
    <row r="18" spans="1:9" ht="15">
      <c r="A18" s="5"/>
      <c r="B18" s="12"/>
      <c r="C18" s="4" t="s">
        <v>18</v>
      </c>
      <c r="D18" s="13">
        <v>5451640</v>
      </c>
      <c r="E18" s="13">
        <v>4463800</v>
      </c>
      <c r="F18" s="13">
        <v>4593240</v>
      </c>
      <c r="G18" s="13">
        <v>6843560</v>
      </c>
      <c r="H18" s="14"/>
      <c r="I18" s="4"/>
    </row>
    <row r="19" spans="1:9" ht="15">
      <c r="A19" s="5"/>
      <c r="B19" s="12"/>
      <c r="C19" s="4" t="s">
        <v>19</v>
      </c>
      <c r="D19" s="13">
        <v>26311.28</v>
      </c>
      <c r="E19" s="13">
        <v>25820.28</v>
      </c>
      <c r="F19" s="13">
        <v>41409.88</v>
      </c>
      <c r="G19" s="13">
        <v>43788.6</v>
      </c>
      <c r="H19" s="14"/>
      <c r="I19" s="4"/>
    </row>
    <row r="20" spans="1:9" ht="15">
      <c r="A20" s="5"/>
      <c r="B20" s="12"/>
      <c r="C20" s="4" t="s">
        <v>20</v>
      </c>
      <c r="D20" s="13">
        <v>25258.9</v>
      </c>
      <c r="E20" s="13">
        <v>24784.6</v>
      </c>
      <c r="F20" s="13">
        <v>38765.52</v>
      </c>
      <c r="G20" s="13">
        <v>42387.12</v>
      </c>
      <c r="H20" s="14"/>
      <c r="I20" s="4"/>
    </row>
    <row r="21" spans="1:9" ht="15">
      <c r="A21" s="5"/>
      <c r="B21" s="12"/>
      <c r="C21" s="4" t="s">
        <v>21</v>
      </c>
      <c r="D21" s="13">
        <v>0</v>
      </c>
      <c r="E21" s="13">
        <v>0</v>
      </c>
      <c r="F21" s="13">
        <v>0</v>
      </c>
      <c r="G21" s="13">
        <v>0</v>
      </c>
      <c r="H21" s="14"/>
      <c r="I21" s="4"/>
    </row>
    <row r="22" spans="1:9" ht="15">
      <c r="A22" s="1" t="s">
        <v>22</v>
      </c>
      <c r="B22" s="9" t="s">
        <v>23</v>
      </c>
      <c r="C22" s="2"/>
      <c r="D22" s="10"/>
      <c r="E22" s="10"/>
      <c r="F22" s="10"/>
      <c r="G22" s="10"/>
      <c r="H22" s="11"/>
      <c r="I22" s="4"/>
    </row>
    <row r="23" spans="1:9" ht="15">
      <c r="A23" s="5"/>
      <c r="B23" s="12"/>
      <c r="C23" s="4" t="s">
        <v>9</v>
      </c>
      <c r="D23" s="13">
        <v>8</v>
      </c>
      <c r="E23" s="13">
        <v>10</v>
      </c>
      <c r="F23" s="13">
        <v>14</v>
      </c>
      <c r="G23" s="13">
        <v>13</v>
      </c>
      <c r="H23" s="14"/>
      <c r="I23" s="4"/>
    </row>
    <row r="24" spans="1:9" ht="15">
      <c r="A24" s="5"/>
      <c r="B24" s="12"/>
      <c r="C24" s="4" t="s">
        <v>15</v>
      </c>
      <c r="D24" s="13">
        <v>4244450</v>
      </c>
      <c r="E24" s="13">
        <v>3512925</v>
      </c>
      <c r="F24" s="13">
        <v>3756700</v>
      </c>
      <c r="G24" s="13">
        <v>4483825</v>
      </c>
      <c r="H24" s="14">
        <f>SUM(D24:G24)</f>
        <v>15997900</v>
      </c>
      <c r="I24" s="4"/>
    </row>
    <row r="25" spans="1:9" ht="15">
      <c r="A25" s="5"/>
      <c r="B25" s="12"/>
      <c r="C25" s="4" t="s">
        <v>16</v>
      </c>
      <c r="D25" s="13">
        <v>1088000</v>
      </c>
      <c r="E25" s="13">
        <v>910850</v>
      </c>
      <c r="F25" s="13">
        <v>986975</v>
      </c>
      <c r="G25" s="13">
        <v>1225475</v>
      </c>
      <c r="H25" s="14"/>
      <c r="I25" s="4"/>
    </row>
    <row r="26" spans="1:9" ht="15">
      <c r="A26" s="5"/>
      <c r="B26" s="12"/>
      <c r="C26" s="4" t="s">
        <v>17</v>
      </c>
      <c r="D26" s="13">
        <v>1259975</v>
      </c>
      <c r="E26" s="13">
        <v>1043100</v>
      </c>
      <c r="F26" s="13">
        <v>1075175</v>
      </c>
      <c r="G26" s="13">
        <v>1257125</v>
      </c>
      <c r="H26" s="14"/>
      <c r="I26" s="4"/>
    </row>
    <row r="27" spans="1:9" ht="15">
      <c r="A27" s="5"/>
      <c r="B27" s="12"/>
      <c r="C27" s="4" t="s">
        <v>18</v>
      </c>
      <c r="D27" s="13">
        <v>1896475</v>
      </c>
      <c r="E27" s="13">
        <v>1558975</v>
      </c>
      <c r="F27" s="13">
        <v>1694550</v>
      </c>
      <c r="G27" s="13">
        <v>2001225</v>
      </c>
      <c r="H27" s="14"/>
      <c r="I27" s="4"/>
    </row>
    <row r="28" spans="1:9" ht="15">
      <c r="A28" s="5"/>
      <c r="B28" s="12"/>
      <c r="C28" s="4" t="s">
        <v>19</v>
      </c>
      <c r="D28" s="13">
        <v>11290.462</v>
      </c>
      <c r="E28" s="13">
        <v>12893.612</v>
      </c>
      <c r="F28" s="13">
        <v>21019.124</v>
      </c>
      <c r="G28" s="13">
        <v>18107.162</v>
      </c>
      <c r="H28" s="14"/>
      <c r="I28" s="4"/>
    </row>
    <row r="29" spans="1:9" ht="15">
      <c r="A29" s="5"/>
      <c r="B29" s="12"/>
      <c r="C29" s="4" t="s">
        <v>20</v>
      </c>
      <c r="D29" s="13">
        <v>8065.425</v>
      </c>
      <c r="E29" s="13">
        <v>8204.15</v>
      </c>
      <c r="F29" s="13">
        <v>14849.1</v>
      </c>
      <c r="G29" s="13">
        <v>15597.875</v>
      </c>
      <c r="H29" s="14"/>
      <c r="I29" s="4"/>
    </row>
    <row r="30" spans="1:9" ht="15">
      <c r="A30" s="5"/>
      <c r="B30" s="12"/>
      <c r="C30" s="4" t="s">
        <v>21</v>
      </c>
      <c r="D30" s="13">
        <v>0</v>
      </c>
      <c r="E30" s="13">
        <v>0</v>
      </c>
      <c r="F30" s="13">
        <v>0</v>
      </c>
      <c r="G30" s="13">
        <v>0</v>
      </c>
      <c r="H30" s="14"/>
      <c r="I30" s="4"/>
    </row>
    <row r="31" spans="1:9" ht="15">
      <c r="A31" s="1" t="s">
        <v>24</v>
      </c>
      <c r="B31" s="9"/>
      <c r="C31" s="2" t="s">
        <v>9</v>
      </c>
      <c r="D31" s="10">
        <v>3</v>
      </c>
      <c r="E31" s="10">
        <v>3</v>
      </c>
      <c r="F31" s="10">
        <v>3</v>
      </c>
      <c r="G31" s="10">
        <v>3</v>
      </c>
      <c r="H31" s="11"/>
      <c r="I31" s="4"/>
    </row>
    <row r="32" spans="1:9" ht="15">
      <c r="A32" s="5"/>
      <c r="B32" s="12"/>
      <c r="C32" s="4" t="s">
        <v>15</v>
      </c>
      <c r="D32" s="13">
        <v>21400500</v>
      </c>
      <c r="E32" s="13">
        <v>17076600</v>
      </c>
      <c r="F32" s="13">
        <v>15058800</v>
      </c>
      <c r="G32" s="13">
        <v>18416200</v>
      </c>
      <c r="H32" s="14">
        <f>SUM(D32:G32)</f>
        <v>71952100</v>
      </c>
      <c r="I32" s="4"/>
    </row>
    <row r="33" spans="1:9" ht="15">
      <c r="A33" s="5"/>
      <c r="B33" s="12"/>
      <c r="C33" s="4" t="s">
        <v>16</v>
      </c>
      <c r="D33" s="13">
        <f aca="true" t="shared" si="0" ref="D33:G38">D42+D51</f>
        <v>5353814</v>
      </c>
      <c r="E33" s="13">
        <f t="shared" si="0"/>
        <v>4308119</v>
      </c>
      <c r="F33" s="13">
        <f t="shared" si="0"/>
        <v>3940387</v>
      </c>
      <c r="G33" s="13">
        <f t="shared" si="0"/>
        <v>4743014</v>
      </c>
      <c r="H33" s="14"/>
      <c r="I33" s="4"/>
    </row>
    <row r="34" spans="1:9" ht="15">
      <c r="A34" s="5"/>
      <c r="B34" s="12"/>
      <c r="C34" s="4" t="s">
        <v>17</v>
      </c>
      <c r="D34" s="13">
        <f t="shared" si="0"/>
        <v>5840520</v>
      </c>
      <c r="E34" s="13">
        <f t="shared" si="0"/>
        <v>4807710</v>
      </c>
      <c r="F34" s="13">
        <f t="shared" si="0"/>
        <v>3883239</v>
      </c>
      <c r="G34" s="13">
        <f t="shared" si="0"/>
        <v>4992409</v>
      </c>
      <c r="H34" s="14"/>
      <c r="I34" s="4"/>
    </row>
    <row r="35" spans="1:9" ht="15">
      <c r="A35" s="5"/>
      <c r="B35" s="12"/>
      <c r="C35" s="4" t="s">
        <v>18</v>
      </c>
      <c r="D35" s="13">
        <f t="shared" si="0"/>
        <v>10206166</v>
      </c>
      <c r="E35" s="13">
        <f t="shared" si="0"/>
        <v>7960771</v>
      </c>
      <c r="F35" s="13">
        <f t="shared" si="0"/>
        <v>7235174</v>
      </c>
      <c r="G35" s="13">
        <f t="shared" si="0"/>
        <v>8680777</v>
      </c>
      <c r="H35" s="14"/>
      <c r="I35" s="4"/>
    </row>
    <row r="36" spans="1:9" ht="15">
      <c r="A36" s="5"/>
      <c r="B36" s="12"/>
      <c r="C36" s="4" t="s">
        <v>19</v>
      </c>
      <c r="D36" s="13">
        <f t="shared" si="0"/>
        <v>43075</v>
      </c>
      <c r="E36" s="13">
        <f t="shared" si="0"/>
        <v>42736</v>
      </c>
      <c r="F36" s="13">
        <f t="shared" si="0"/>
        <v>39942</v>
      </c>
      <c r="G36" s="13">
        <f t="shared" si="0"/>
        <v>42477</v>
      </c>
      <c r="H36" s="14"/>
      <c r="I36" s="4"/>
    </row>
    <row r="37" spans="1:9" ht="15">
      <c r="A37" s="5"/>
      <c r="B37" s="12"/>
      <c r="C37" s="4" t="s">
        <v>20</v>
      </c>
      <c r="D37" s="13">
        <f t="shared" si="0"/>
        <v>41600</v>
      </c>
      <c r="E37" s="13">
        <f t="shared" si="0"/>
        <v>43229</v>
      </c>
      <c r="F37" s="13">
        <f t="shared" si="0"/>
        <v>36947</v>
      </c>
      <c r="G37" s="13">
        <f t="shared" si="0"/>
        <v>42221</v>
      </c>
      <c r="H37" s="14"/>
      <c r="I37" s="4"/>
    </row>
    <row r="38" spans="1:9" ht="15">
      <c r="A38" s="5"/>
      <c r="B38" s="12"/>
      <c r="C38" s="4" t="s">
        <v>21</v>
      </c>
      <c r="D38" s="13">
        <f t="shared" si="0"/>
        <v>0</v>
      </c>
      <c r="E38" s="13">
        <f t="shared" si="0"/>
        <v>0</v>
      </c>
      <c r="F38" s="13">
        <f t="shared" si="0"/>
        <v>0</v>
      </c>
      <c r="G38" s="13">
        <f t="shared" si="0"/>
        <v>0</v>
      </c>
      <c r="H38" s="14"/>
      <c r="I38" s="4"/>
    </row>
    <row r="39" spans="1:9" ht="15">
      <c r="A39" s="5"/>
      <c r="B39" s="12"/>
      <c r="C39" s="4"/>
      <c r="D39" s="13"/>
      <c r="E39" s="13"/>
      <c r="F39" s="13"/>
      <c r="G39" s="13"/>
      <c r="H39" s="14"/>
      <c r="I39" s="4"/>
    </row>
    <row r="40" spans="1:9" ht="15">
      <c r="A40" s="5"/>
      <c r="B40" s="12" t="s">
        <v>23</v>
      </c>
      <c r="C40" s="4" t="s">
        <v>9</v>
      </c>
      <c r="D40" s="13">
        <v>1</v>
      </c>
      <c r="E40" s="13">
        <v>1</v>
      </c>
      <c r="F40" s="13">
        <v>1</v>
      </c>
      <c r="G40" s="13">
        <v>1</v>
      </c>
      <c r="H40" s="14"/>
      <c r="I40" s="4"/>
    </row>
    <row r="41" spans="1:9" ht="15">
      <c r="A41" s="5"/>
      <c r="B41" s="12"/>
      <c r="C41" s="4" t="s">
        <v>15</v>
      </c>
      <c r="D41" s="13">
        <v>6711500</v>
      </c>
      <c r="E41" s="13">
        <v>3133600</v>
      </c>
      <c r="F41" s="13">
        <v>575800</v>
      </c>
      <c r="G41" s="13">
        <v>1983200</v>
      </c>
      <c r="H41" s="14">
        <f>SUM(D41:G41)</f>
        <v>12404100</v>
      </c>
      <c r="I41" s="4"/>
    </row>
    <row r="42" spans="1:9" ht="15">
      <c r="A42" s="5"/>
      <c r="B42" s="12"/>
      <c r="C42" s="4" t="s">
        <v>16</v>
      </c>
      <c r="D42" s="13">
        <v>1531296</v>
      </c>
      <c r="E42" s="13">
        <v>702459</v>
      </c>
      <c r="F42" s="13">
        <v>84867</v>
      </c>
      <c r="G42" s="13">
        <v>380874</v>
      </c>
      <c r="H42" s="14"/>
      <c r="I42" s="4"/>
    </row>
    <row r="43" spans="1:9" ht="15">
      <c r="A43" s="5"/>
      <c r="B43" s="12"/>
      <c r="C43" s="4" t="s">
        <v>17</v>
      </c>
      <c r="D43" s="13">
        <v>1775192</v>
      </c>
      <c r="E43" s="13">
        <v>895583</v>
      </c>
      <c r="F43" s="13">
        <v>71169</v>
      </c>
      <c r="G43" s="13">
        <v>456572</v>
      </c>
      <c r="H43" s="14"/>
      <c r="I43" s="4"/>
    </row>
    <row r="44" spans="1:9" ht="15">
      <c r="A44" s="5"/>
      <c r="B44" s="12"/>
      <c r="C44" s="4" t="s">
        <v>18</v>
      </c>
      <c r="D44" s="13">
        <v>3405012</v>
      </c>
      <c r="E44" s="13">
        <v>1535558</v>
      </c>
      <c r="F44" s="13">
        <v>419764</v>
      </c>
      <c r="G44" s="13">
        <v>1145754</v>
      </c>
      <c r="H44" s="14"/>
      <c r="I44" s="4"/>
    </row>
    <row r="45" spans="1:9" ht="15">
      <c r="A45" s="5"/>
      <c r="B45" s="12"/>
      <c r="C45" s="4" t="s">
        <v>19</v>
      </c>
      <c r="D45" s="13">
        <v>17491</v>
      </c>
      <c r="E45" s="13">
        <v>11680</v>
      </c>
      <c r="F45" s="13">
        <v>12102</v>
      </c>
      <c r="G45" s="13">
        <v>14733</v>
      </c>
      <c r="H45" s="14"/>
      <c r="I45" s="4"/>
    </row>
    <row r="46" spans="1:9" ht="15">
      <c r="A46" s="5"/>
      <c r="B46" s="12"/>
      <c r="C46" s="4" t="s">
        <v>20</v>
      </c>
      <c r="D46" s="13">
        <v>17920</v>
      </c>
      <c r="E46" s="13">
        <v>12365</v>
      </c>
      <c r="F46" s="13">
        <v>9107</v>
      </c>
      <c r="G46" s="13">
        <v>14189</v>
      </c>
      <c r="H46" s="14"/>
      <c r="I46" s="4"/>
    </row>
    <row r="47" spans="1:9" ht="15">
      <c r="A47" s="5"/>
      <c r="B47" s="12"/>
      <c r="C47" s="4" t="s">
        <v>21</v>
      </c>
      <c r="D47" s="13">
        <v>0</v>
      </c>
      <c r="E47" s="13">
        <v>0</v>
      </c>
      <c r="F47" s="13">
        <v>0</v>
      </c>
      <c r="G47" s="13">
        <v>0</v>
      </c>
      <c r="H47" s="14"/>
      <c r="I47" s="4"/>
    </row>
    <row r="48" spans="1:9" ht="15">
      <c r="A48" s="5"/>
      <c r="B48" s="12"/>
      <c r="C48" s="4"/>
      <c r="D48" s="13"/>
      <c r="E48" s="13"/>
      <c r="F48" s="13"/>
      <c r="G48" s="13"/>
      <c r="H48" s="14"/>
      <c r="I48" s="4"/>
    </row>
    <row r="49" spans="1:9" ht="15">
      <c r="A49" s="5"/>
      <c r="B49" s="12" t="s">
        <v>25</v>
      </c>
      <c r="C49" s="4" t="s">
        <v>9</v>
      </c>
      <c r="D49" s="13">
        <v>2</v>
      </c>
      <c r="E49" s="13">
        <v>2</v>
      </c>
      <c r="F49" s="13">
        <v>2</v>
      </c>
      <c r="G49" s="13">
        <v>2</v>
      </c>
      <c r="H49" s="14"/>
      <c r="I49" s="4"/>
    </row>
    <row r="50" spans="1:9" ht="15">
      <c r="A50" s="5"/>
      <c r="B50" s="4"/>
      <c r="C50" s="4" t="s">
        <v>15</v>
      </c>
      <c r="D50" s="13">
        <f>1818500+12870500</f>
        <v>14689000</v>
      </c>
      <c r="E50" s="13">
        <f>1805500+12137500</f>
        <v>13943000</v>
      </c>
      <c r="F50" s="13">
        <f>1680000+12803000</f>
        <v>14483000</v>
      </c>
      <c r="G50" s="13">
        <f>1801500+14631500</f>
        <v>16433000</v>
      </c>
      <c r="H50" s="14">
        <f>SUM(D50:G50)</f>
        <v>59548000</v>
      </c>
      <c r="I50" s="4"/>
    </row>
    <row r="51" spans="1:9" ht="15">
      <c r="A51" s="5"/>
      <c r="B51" s="4"/>
      <c r="C51" s="4" t="s">
        <v>16</v>
      </c>
      <c r="D51" s="13">
        <v>3822518</v>
      </c>
      <c r="E51" s="13">
        <v>3605660</v>
      </c>
      <c r="F51" s="13">
        <v>3855520</v>
      </c>
      <c r="G51" s="13">
        <v>4362140</v>
      </c>
      <c r="H51" s="14"/>
      <c r="I51" s="4"/>
    </row>
    <row r="52" spans="1:9" ht="15">
      <c r="A52" s="5"/>
      <c r="B52" s="4"/>
      <c r="C52" s="4" t="s">
        <v>17</v>
      </c>
      <c r="D52" s="13">
        <v>4065328</v>
      </c>
      <c r="E52" s="13">
        <v>3912127</v>
      </c>
      <c r="F52" s="13">
        <v>3812070</v>
      </c>
      <c r="G52" s="13">
        <v>4535837</v>
      </c>
      <c r="H52" s="14"/>
      <c r="I52" s="4"/>
    </row>
    <row r="53" spans="1:9" ht="15">
      <c r="A53" s="5"/>
      <c r="B53" s="4"/>
      <c r="C53" s="4" t="s">
        <v>18</v>
      </c>
      <c r="D53" s="13">
        <v>6801154</v>
      </c>
      <c r="E53" s="13">
        <v>6425213</v>
      </c>
      <c r="F53" s="13">
        <v>6815410</v>
      </c>
      <c r="G53" s="13">
        <v>7535023</v>
      </c>
      <c r="H53" s="14"/>
      <c r="I53" s="4"/>
    </row>
    <row r="54" spans="1:9" ht="15">
      <c r="A54" s="5"/>
      <c r="B54" s="4"/>
      <c r="C54" s="4" t="s">
        <v>19</v>
      </c>
      <c r="D54" s="13">
        <v>25584</v>
      </c>
      <c r="E54" s="13">
        <v>31056</v>
      </c>
      <c r="F54" s="13">
        <v>27840</v>
      </c>
      <c r="G54" s="13">
        <v>27744</v>
      </c>
      <c r="H54" s="14"/>
      <c r="I54" s="4"/>
    </row>
    <row r="55" spans="1:9" ht="15">
      <c r="A55" s="5"/>
      <c r="B55" s="4"/>
      <c r="C55" s="4" t="s">
        <v>20</v>
      </c>
      <c r="D55" s="13">
        <v>23680</v>
      </c>
      <c r="E55" s="13">
        <v>30864</v>
      </c>
      <c r="F55" s="13">
        <v>27840</v>
      </c>
      <c r="G55" s="13">
        <v>28032</v>
      </c>
      <c r="H55" s="14"/>
      <c r="I55" s="4"/>
    </row>
    <row r="56" spans="1:9" ht="15">
      <c r="A56" s="5"/>
      <c r="B56" s="4"/>
      <c r="C56" s="4" t="s">
        <v>21</v>
      </c>
      <c r="D56" s="13">
        <v>0</v>
      </c>
      <c r="E56" s="13">
        <v>0</v>
      </c>
      <c r="F56" s="13">
        <v>0</v>
      </c>
      <c r="G56" s="13">
        <v>0</v>
      </c>
      <c r="H56" s="14"/>
      <c r="I56" s="4"/>
    </row>
    <row r="57" spans="1:9" ht="15.75">
      <c r="A57" s="1"/>
      <c r="B57" s="2"/>
      <c r="C57" s="2" t="s">
        <v>9</v>
      </c>
      <c r="D57" s="15">
        <f aca="true" t="shared" si="1" ref="D57:G58">D6+D10+D14+D23+D31</f>
        <v>1267</v>
      </c>
      <c r="E57" s="15">
        <f t="shared" si="1"/>
        <v>1248</v>
      </c>
      <c r="F57" s="15">
        <f t="shared" si="1"/>
        <v>1354</v>
      </c>
      <c r="G57" s="15">
        <f t="shared" si="1"/>
        <v>1411</v>
      </c>
      <c r="H57" s="16"/>
      <c r="I57" s="4"/>
    </row>
    <row r="58" spans="1:9" ht="15.75">
      <c r="A58" s="17" t="s">
        <v>26</v>
      </c>
      <c r="B58" s="18"/>
      <c r="C58" s="19" t="s">
        <v>10</v>
      </c>
      <c r="D58" s="20">
        <f t="shared" si="1"/>
        <v>69055832</v>
      </c>
      <c r="E58" s="20">
        <f t="shared" si="1"/>
        <v>56755596</v>
      </c>
      <c r="F58" s="20">
        <f t="shared" si="1"/>
        <v>58575231</v>
      </c>
      <c r="G58" s="20">
        <f t="shared" si="1"/>
        <v>66560658</v>
      </c>
      <c r="H58" s="21">
        <f>SUM(D58:G58)</f>
        <v>250947317</v>
      </c>
      <c r="I58" s="4"/>
    </row>
    <row r="59" spans="1:9" ht="15.75">
      <c r="A59" s="22"/>
      <c r="B59" s="22"/>
      <c r="C59" s="22"/>
      <c r="D59" s="23"/>
      <c r="E59" s="23"/>
      <c r="F59" s="23"/>
      <c r="G59" s="23"/>
      <c r="H59" s="23"/>
      <c r="I59" s="4"/>
    </row>
  </sheetData>
  <printOptions/>
  <pageMargins left="0.5" right="0.5" top="0.5" bottom="0.5" header="0.5" footer="0.5"/>
  <pageSetup horizontalDpi="300" verticalDpi="300" orientation="landscape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I46"/>
  <sheetViews>
    <sheetView defaultGridColor="0" zoomScale="87" zoomScaleNormal="87" colorId="22" workbookViewId="0" topLeftCell="A1">
      <selection activeCell="A1" sqref="A1"/>
    </sheetView>
  </sheetViews>
  <sheetFormatPr defaultColWidth="9.77734375" defaultRowHeight="15"/>
  <cols>
    <col min="1" max="1" width="28.77734375" style="0" customWidth="1"/>
    <col min="2" max="2" width="13.77734375" style="0" customWidth="1"/>
    <col min="3" max="3" width="12.77734375" style="0" customWidth="1"/>
    <col min="5" max="8" width="11.77734375" style="0" customWidth="1"/>
  </cols>
  <sheetData>
    <row r="1" spans="1:9" ht="15">
      <c r="A1" s="1"/>
      <c r="B1" s="2"/>
      <c r="C1" s="2" t="s">
        <v>0</v>
      </c>
      <c r="D1" s="2"/>
      <c r="E1" s="2"/>
      <c r="F1" s="2"/>
      <c r="G1" s="2"/>
      <c r="H1" s="3"/>
      <c r="I1" s="4"/>
    </row>
    <row r="2" spans="1:9" ht="15">
      <c r="A2" s="5"/>
      <c r="B2" s="4"/>
      <c r="C2" s="4" t="s">
        <v>27</v>
      </c>
      <c r="D2" s="4"/>
      <c r="E2" s="4"/>
      <c r="F2" s="4"/>
      <c r="G2" s="4"/>
      <c r="H2" s="6"/>
      <c r="I2" s="4"/>
    </row>
    <row r="3" spans="1:9" ht="15">
      <c r="A3" s="5"/>
      <c r="B3" s="4"/>
      <c r="C3" s="4"/>
      <c r="D3" s="4"/>
      <c r="E3" s="4"/>
      <c r="F3" s="4"/>
      <c r="G3" s="4"/>
      <c r="H3" s="6"/>
      <c r="I3" s="4"/>
    </row>
    <row r="4" spans="1:9" ht="15">
      <c r="A4" s="5"/>
      <c r="B4" s="4"/>
      <c r="C4" s="4"/>
      <c r="D4" s="7" t="s">
        <v>2</v>
      </c>
      <c r="E4" s="7" t="s">
        <v>3</v>
      </c>
      <c r="F4" s="7" t="s">
        <v>4</v>
      </c>
      <c r="G4" s="7" t="s">
        <v>5</v>
      </c>
      <c r="H4" s="8" t="s">
        <v>6</v>
      </c>
      <c r="I4" s="4"/>
    </row>
    <row r="5" spans="1:9" ht="15">
      <c r="A5" s="1" t="s">
        <v>28</v>
      </c>
      <c r="B5" s="9" t="s">
        <v>8</v>
      </c>
      <c r="C5" s="2" t="s">
        <v>9</v>
      </c>
      <c r="D5" s="10">
        <v>17</v>
      </c>
      <c r="E5" s="10">
        <v>19</v>
      </c>
      <c r="F5" s="10">
        <v>20</v>
      </c>
      <c r="G5" s="10">
        <v>20</v>
      </c>
      <c r="H5" s="11"/>
      <c r="I5" s="4"/>
    </row>
    <row r="6" spans="1:9" ht="15">
      <c r="A6" s="5"/>
      <c r="B6" s="12"/>
      <c r="C6" s="4" t="s">
        <v>10</v>
      </c>
      <c r="D6" s="13">
        <v>1263510</v>
      </c>
      <c r="E6" s="13">
        <v>3140410</v>
      </c>
      <c r="F6" s="13">
        <v>3982950</v>
      </c>
      <c r="G6" s="13">
        <v>2690380</v>
      </c>
      <c r="H6" s="14">
        <f>SUM(D6:G6)</f>
        <v>11077250</v>
      </c>
      <c r="I6" s="4"/>
    </row>
    <row r="7" spans="1:9" ht="15">
      <c r="A7" s="5"/>
      <c r="B7" s="12"/>
      <c r="C7" s="4"/>
      <c r="D7" s="13"/>
      <c r="E7" s="13"/>
      <c r="F7" s="13"/>
      <c r="G7" s="13"/>
      <c r="H7" s="14"/>
      <c r="I7" s="4"/>
    </row>
    <row r="8" spans="1:9" ht="15">
      <c r="A8" s="5" t="s">
        <v>29</v>
      </c>
      <c r="B8" s="12"/>
      <c r="C8" s="4" t="s">
        <v>9</v>
      </c>
      <c r="D8" s="13">
        <v>10</v>
      </c>
      <c r="E8" s="13">
        <v>12</v>
      </c>
      <c r="F8" s="13">
        <v>10</v>
      </c>
      <c r="G8" s="13">
        <v>12</v>
      </c>
      <c r="H8" s="14"/>
      <c r="I8" s="4"/>
    </row>
    <row r="9" spans="1:9" ht="15">
      <c r="A9" s="5"/>
      <c r="B9" s="12"/>
      <c r="C9" s="4" t="s">
        <v>10</v>
      </c>
      <c r="D9" s="13">
        <v>1014220</v>
      </c>
      <c r="E9" s="13">
        <v>1748570</v>
      </c>
      <c r="F9" s="13">
        <v>1362750</v>
      </c>
      <c r="G9" s="13">
        <v>1354030</v>
      </c>
      <c r="H9" s="14">
        <f>SUM(D9:G9)</f>
        <v>5479570</v>
      </c>
      <c r="I9" s="4"/>
    </row>
    <row r="10" spans="1:9" ht="15">
      <c r="A10" s="5"/>
      <c r="B10" s="12"/>
      <c r="C10" s="4" t="s">
        <v>11</v>
      </c>
      <c r="D10" s="13">
        <v>4375</v>
      </c>
      <c r="E10" s="13">
        <v>5655</v>
      </c>
      <c r="F10" s="13">
        <v>4326</v>
      </c>
      <c r="G10" s="13">
        <v>5844</v>
      </c>
      <c r="H10" s="14"/>
      <c r="I10" s="4"/>
    </row>
    <row r="11" spans="1:9" ht="15">
      <c r="A11" s="5"/>
      <c r="B11" s="12"/>
      <c r="C11" s="4"/>
      <c r="D11" s="13"/>
      <c r="E11" s="13"/>
      <c r="F11" s="13"/>
      <c r="G11" s="13"/>
      <c r="H11" s="14"/>
      <c r="I11" s="4"/>
    </row>
    <row r="12" spans="1:9" ht="15">
      <c r="A12" s="5" t="s">
        <v>30</v>
      </c>
      <c r="B12" s="12"/>
      <c r="C12" s="4" t="s">
        <v>9</v>
      </c>
      <c r="D12" s="13">
        <v>7</v>
      </c>
      <c r="E12" s="13">
        <v>7</v>
      </c>
      <c r="F12" s="13">
        <v>10</v>
      </c>
      <c r="G12" s="13">
        <v>8</v>
      </c>
      <c r="H12" s="14"/>
      <c r="I12" s="4"/>
    </row>
    <row r="13" spans="1:9" ht="15">
      <c r="A13" s="5"/>
      <c r="B13" s="12"/>
      <c r="C13" s="4" t="s">
        <v>10</v>
      </c>
      <c r="D13" s="13">
        <v>249290</v>
      </c>
      <c r="E13" s="13">
        <v>1391840</v>
      </c>
      <c r="F13" s="13">
        <v>2620200</v>
      </c>
      <c r="G13" s="13">
        <v>1336350</v>
      </c>
      <c r="H13" s="14">
        <f>SUM(D13:G13)</f>
        <v>5597680</v>
      </c>
      <c r="I13" s="4"/>
    </row>
    <row r="14" spans="1:9" ht="15">
      <c r="A14" s="1" t="s">
        <v>31</v>
      </c>
      <c r="B14" s="9" t="s">
        <v>13</v>
      </c>
      <c r="C14" s="2"/>
      <c r="D14" s="10"/>
      <c r="E14" s="10"/>
      <c r="F14" s="10"/>
      <c r="G14" s="10"/>
      <c r="H14" s="11"/>
      <c r="I14" s="4"/>
    </row>
    <row r="15" spans="1:9" ht="15">
      <c r="A15" s="5"/>
      <c r="B15" s="12"/>
      <c r="C15" s="4" t="s">
        <v>9</v>
      </c>
      <c r="D15" s="13">
        <v>2</v>
      </c>
      <c r="E15" s="13">
        <v>2</v>
      </c>
      <c r="F15" s="13">
        <v>2</v>
      </c>
      <c r="G15" s="13">
        <v>2</v>
      </c>
      <c r="H15" s="14"/>
      <c r="I15" s="4"/>
    </row>
    <row r="16" spans="1:9" ht="15">
      <c r="A16" s="5"/>
      <c r="B16" s="12"/>
      <c r="C16" s="4" t="s">
        <v>10</v>
      </c>
      <c r="D16" s="13">
        <v>541200</v>
      </c>
      <c r="E16" s="13">
        <v>503400</v>
      </c>
      <c r="F16" s="13">
        <v>550200</v>
      </c>
      <c r="G16" s="13">
        <v>434400</v>
      </c>
      <c r="H16" s="14">
        <f>SUM(D16:G16)</f>
        <v>2029200</v>
      </c>
      <c r="I16" s="4"/>
    </row>
    <row r="17" spans="1:9" ht="15">
      <c r="A17" s="5"/>
      <c r="B17" s="12"/>
      <c r="C17" s="4" t="s">
        <v>11</v>
      </c>
      <c r="D17" s="13">
        <v>1690</v>
      </c>
      <c r="E17" s="13">
        <v>1725</v>
      </c>
      <c r="F17" s="13">
        <v>1712</v>
      </c>
      <c r="G17" s="13">
        <v>1666</v>
      </c>
      <c r="H17" s="14"/>
      <c r="I17" s="4"/>
    </row>
    <row r="18" spans="1:9" ht="15">
      <c r="A18" s="1" t="s">
        <v>32</v>
      </c>
      <c r="B18" s="9"/>
      <c r="C18" s="2" t="s">
        <v>9</v>
      </c>
      <c r="D18" s="10">
        <v>2</v>
      </c>
      <c r="E18" s="10">
        <v>4</v>
      </c>
      <c r="F18" s="10">
        <v>6</v>
      </c>
      <c r="G18" s="10">
        <v>2</v>
      </c>
      <c r="H18" s="11"/>
      <c r="I18" s="4"/>
    </row>
    <row r="19" spans="1:9" ht="15">
      <c r="A19" s="5"/>
      <c r="B19" s="12"/>
      <c r="C19" s="4" t="s">
        <v>15</v>
      </c>
      <c r="D19" s="13">
        <v>8130715</v>
      </c>
      <c r="E19" s="13">
        <v>19654976</v>
      </c>
      <c r="F19" s="13">
        <v>25864224.2</v>
      </c>
      <c r="G19" s="13">
        <v>8897598.8</v>
      </c>
      <c r="H19" s="14">
        <f>SUM(D19:G19)</f>
        <v>62547514</v>
      </c>
      <c r="I19" s="4"/>
    </row>
    <row r="20" spans="1:9" ht="15">
      <c r="A20" s="5"/>
      <c r="B20" s="12"/>
      <c r="C20" s="4" t="s">
        <v>16</v>
      </c>
      <c r="D20" s="13">
        <f aca="true" t="shared" si="0" ref="D20:G24">D29+D38</f>
        <v>2207411</v>
      </c>
      <c r="E20" s="13">
        <f t="shared" si="0"/>
        <v>4784681</v>
      </c>
      <c r="F20" s="13">
        <f t="shared" si="0"/>
        <v>6762492</v>
      </c>
      <c r="G20" s="13">
        <f t="shared" si="0"/>
        <v>2517569</v>
      </c>
      <c r="H20" s="14"/>
      <c r="I20" s="4"/>
    </row>
    <row r="21" spans="1:9" ht="15">
      <c r="A21" s="5"/>
      <c r="B21" s="12"/>
      <c r="C21" s="4" t="s">
        <v>17</v>
      </c>
      <c r="D21" s="13">
        <f t="shared" si="0"/>
        <v>2198835</v>
      </c>
      <c r="E21" s="13">
        <f t="shared" si="0"/>
        <v>5505322</v>
      </c>
      <c r="F21" s="13">
        <f t="shared" si="0"/>
        <v>7012550</v>
      </c>
      <c r="G21" s="13">
        <f t="shared" si="0"/>
        <v>2289007</v>
      </c>
      <c r="H21" s="14"/>
      <c r="I21" s="4"/>
    </row>
    <row r="22" spans="1:9" ht="15">
      <c r="A22" s="5"/>
      <c r="B22" s="12"/>
      <c r="C22" s="4" t="s">
        <v>18</v>
      </c>
      <c r="D22" s="13">
        <f t="shared" si="0"/>
        <v>3724469</v>
      </c>
      <c r="E22" s="13">
        <f t="shared" si="0"/>
        <v>9364971</v>
      </c>
      <c r="F22" s="13">
        <f t="shared" si="0"/>
        <v>12075465</v>
      </c>
      <c r="G22" s="13">
        <f t="shared" si="0"/>
        <v>4091023</v>
      </c>
      <c r="H22" s="14"/>
      <c r="I22" s="4"/>
    </row>
    <row r="23" spans="1:9" ht="15">
      <c r="A23" s="5"/>
      <c r="B23" s="12"/>
      <c r="C23" s="4" t="s">
        <v>19</v>
      </c>
      <c r="D23" s="13">
        <f t="shared" si="0"/>
        <v>14221</v>
      </c>
      <c r="E23" s="13">
        <f t="shared" si="0"/>
        <v>33926</v>
      </c>
      <c r="F23" s="13">
        <f t="shared" si="0"/>
        <v>52401</v>
      </c>
      <c r="G23" s="13">
        <f t="shared" si="0"/>
        <v>16353</v>
      </c>
      <c r="H23" s="14"/>
      <c r="I23" s="4"/>
    </row>
    <row r="24" spans="1:9" ht="15">
      <c r="A24" s="5"/>
      <c r="B24" s="12"/>
      <c r="C24" s="4" t="s">
        <v>20</v>
      </c>
      <c r="D24" s="13">
        <f t="shared" si="0"/>
        <v>13227</v>
      </c>
      <c r="E24" s="13">
        <f t="shared" si="0"/>
        <v>30932</v>
      </c>
      <c r="F24" s="13">
        <f t="shared" si="0"/>
        <v>50083</v>
      </c>
      <c r="G24" s="13">
        <f t="shared" si="0"/>
        <v>16562</v>
      </c>
      <c r="H24" s="14"/>
      <c r="I24" s="4"/>
    </row>
    <row r="25" spans="1:9" ht="15">
      <c r="A25" s="5"/>
      <c r="B25" s="12"/>
      <c r="C25" s="4" t="s">
        <v>21</v>
      </c>
      <c r="D25" s="13">
        <v>0</v>
      </c>
      <c r="E25" s="13">
        <v>0</v>
      </c>
      <c r="F25" s="13">
        <v>0</v>
      </c>
      <c r="G25" s="13">
        <v>0</v>
      </c>
      <c r="H25" s="14"/>
      <c r="I25" s="4"/>
    </row>
    <row r="26" spans="1:9" ht="15">
      <c r="A26" s="5"/>
      <c r="B26" s="12"/>
      <c r="C26" s="4"/>
      <c r="D26" s="13"/>
      <c r="E26" s="13"/>
      <c r="F26" s="13"/>
      <c r="G26" s="13"/>
      <c r="H26" s="14"/>
      <c r="I26" s="4"/>
    </row>
    <row r="27" spans="1:9" ht="15">
      <c r="A27" s="5"/>
      <c r="B27" s="12" t="s">
        <v>13</v>
      </c>
      <c r="C27" s="4" t="s">
        <v>9</v>
      </c>
      <c r="D27" s="13">
        <v>1</v>
      </c>
      <c r="E27" s="13">
        <v>2</v>
      </c>
      <c r="F27" s="13">
        <v>3</v>
      </c>
      <c r="G27" s="13">
        <v>1</v>
      </c>
      <c r="H27" s="14"/>
      <c r="I27" s="4"/>
    </row>
    <row r="28" spans="1:9" ht="15">
      <c r="A28" s="5"/>
      <c r="B28" s="12"/>
      <c r="C28" s="4" t="s">
        <v>15</v>
      </c>
      <c r="D28" s="13">
        <v>874715</v>
      </c>
      <c r="E28" s="13">
        <f>719964+286594</f>
        <v>1006558</v>
      </c>
      <c r="F28" s="13">
        <f>912517+448796</f>
        <v>1361313</v>
      </c>
      <c r="G28" s="13">
        <v>754499</v>
      </c>
      <c r="H28" s="14"/>
      <c r="I28" s="4"/>
    </row>
    <row r="29" spans="1:9" ht="15">
      <c r="A29" s="5"/>
      <c r="B29" s="12"/>
      <c r="C29" s="4" t="s">
        <v>16</v>
      </c>
      <c r="D29" s="13">
        <v>275911</v>
      </c>
      <c r="E29" s="13">
        <f>103671+243607</f>
        <v>347278</v>
      </c>
      <c r="F29" s="13">
        <f>84947+87734+296011</f>
        <v>468692</v>
      </c>
      <c r="G29" s="13">
        <v>244669</v>
      </c>
      <c r="H29" s="14">
        <f>SUM(D29:G29)</f>
        <v>1336550</v>
      </c>
      <c r="I29" s="4"/>
    </row>
    <row r="30" spans="1:9" ht="15">
      <c r="A30" s="5"/>
      <c r="B30" s="12"/>
      <c r="C30" s="4" t="s">
        <v>17</v>
      </c>
      <c r="D30" s="13">
        <v>232535</v>
      </c>
      <c r="E30" s="13">
        <f>59200+177277</f>
        <v>236477</v>
      </c>
      <c r="F30" s="13">
        <f>43104+46546+232494</f>
        <v>322144</v>
      </c>
      <c r="G30" s="13">
        <v>184407</v>
      </c>
      <c r="H30" s="14"/>
      <c r="I30" s="4"/>
    </row>
    <row r="31" spans="1:9" ht="15">
      <c r="A31" s="5"/>
      <c r="B31" s="12"/>
      <c r="C31" s="4" t="s">
        <v>18</v>
      </c>
      <c r="D31" s="13">
        <v>366269</v>
      </c>
      <c r="E31" s="13">
        <f>123722+299080</f>
        <v>422802</v>
      </c>
      <c r="F31" s="13">
        <f>94569+91897+381095</f>
        <v>567561</v>
      </c>
      <c r="G31" s="13">
        <v>325423</v>
      </c>
      <c r="H31" s="14"/>
      <c r="I31" s="4"/>
    </row>
    <row r="32" spans="1:9" ht="15">
      <c r="A32" s="5"/>
      <c r="B32" s="12"/>
      <c r="C32" s="4" t="s">
        <v>19</v>
      </c>
      <c r="D32" s="13">
        <v>1801</v>
      </c>
      <c r="E32" s="13">
        <f>923+1768</f>
        <v>2691</v>
      </c>
      <c r="F32" s="13">
        <f>818+790+1739</f>
        <v>3347</v>
      </c>
      <c r="G32" s="13">
        <v>1733</v>
      </c>
      <c r="H32" s="14"/>
      <c r="I32" s="4"/>
    </row>
    <row r="33" spans="1:9" ht="15">
      <c r="A33" s="5"/>
      <c r="B33" s="12"/>
      <c r="C33" s="4" t="s">
        <v>20</v>
      </c>
      <c r="D33" s="13">
        <v>1747</v>
      </c>
      <c r="E33" s="13">
        <f>840+1740</f>
        <v>2580</v>
      </c>
      <c r="F33" s="13">
        <f>788+737+1652</f>
        <v>3177</v>
      </c>
      <c r="G33" s="13">
        <v>1672</v>
      </c>
      <c r="H33" s="14"/>
      <c r="I33" s="4"/>
    </row>
    <row r="34" spans="1:9" ht="15">
      <c r="A34" s="5"/>
      <c r="B34" s="12"/>
      <c r="C34" s="4" t="s">
        <v>21</v>
      </c>
      <c r="D34" s="13">
        <v>0</v>
      </c>
      <c r="E34" s="13">
        <v>0</v>
      </c>
      <c r="F34" s="13">
        <v>0</v>
      </c>
      <c r="G34" s="13">
        <v>0</v>
      </c>
      <c r="H34" s="14"/>
      <c r="I34" s="4"/>
    </row>
    <row r="35" spans="1:9" ht="15">
      <c r="A35" s="5"/>
      <c r="B35" s="12"/>
      <c r="C35" s="4"/>
      <c r="D35" s="13"/>
      <c r="E35" s="13"/>
      <c r="F35" s="13"/>
      <c r="G35" s="13"/>
      <c r="H35" s="14"/>
      <c r="I35" s="4"/>
    </row>
    <row r="36" spans="1:9" ht="15">
      <c r="A36" s="5"/>
      <c r="B36" s="12" t="s">
        <v>23</v>
      </c>
      <c r="C36" s="4" t="s">
        <v>9</v>
      </c>
      <c r="D36" s="13">
        <v>1</v>
      </c>
      <c r="E36" s="13">
        <v>2</v>
      </c>
      <c r="F36" s="13">
        <v>3</v>
      </c>
      <c r="G36" s="13">
        <v>1</v>
      </c>
      <c r="H36" s="14"/>
      <c r="I36" s="4"/>
    </row>
    <row r="37" spans="1:9" ht="15">
      <c r="A37" s="5"/>
      <c r="B37" s="4"/>
      <c r="C37" s="4" t="s">
        <v>15</v>
      </c>
      <c r="D37" s="13">
        <v>7256000</v>
      </c>
      <c r="E37" s="13">
        <f>7686100+10962318</f>
        <v>18648418</v>
      </c>
      <c r="F37" s="13">
        <f>7109700+17393211</f>
        <v>24502911</v>
      </c>
      <c r="G37" s="13">
        <v>8143100</v>
      </c>
      <c r="H37" s="14"/>
      <c r="I37" s="4"/>
    </row>
    <row r="38" spans="1:9" ht="15">
      <c r="A38" s="5"/>
      <c r="B38" s="4"/>
      <c r="C38" s="4" t="s">
        <v>16</v>
      </c>
      <c r="D38" s="13">
        <v>1931500</v>
      </c>
      <c r="E38" s="13">
        <f>2677403+1760000</f>
        <v>4437403</v>
      </c>
      <c r="F38" s="13">
        <f>2058333+2450067+1785400</f>
        <v>6293800</v>
      </c>
      <c r="G38" s="13">
        <v>2272900</v>
      </c>
      <c r="H38" s="14">
        <f>SUM(D38:G38)</f>
        <v>14935603</v>
      </c>
      <c r="I38" s="4"/>
    </row>
    <row r="39" spans="1:9" ht="15">
      <c r="A39" s="5"/>
      <c r="B39" s="4"/>
      <c r="C39" s="4" t="s">
        <v>17</v>
      </c>
      <c r="D39" s="13">
        <v>1966300</v>
      </c>
      <c r="E39" s="13">
        <f>2894845+2374000</f>
        <v>5268845</v>
      </c>
      <c r="F39" s="13">
        <f>2221610+2465996+2002800</f>
        <v>6690406</v>
      </c>
      <c r="G39" s="13">
        <v>2104600</v>
      </c>
      <c r="H39" s="14"/>
      <c r="I39" s="4"/>
    </row>
    <row r="40" spans="1:9" ht="15">
      <c r="A40" s="5"/>
      <c r="B40" s="4"/>
      <c r="C40" s="4" t="s">
        <v>18</v>
      </c>
      <c r="D40" s="13">
        <v>3358200</v>
      </c>
      <c r="E40" s="13">
        <f>5390069+3552100</f>
        <v>8942169</v>
      </c>
      <c r="F40" s="13">
        <f>3937398+4249006+3262600+58900</f>
        <v>11507904</v>
      </c>
      <c r="G40" s="13">
        <v>3765600</v>
      </c>
      <c r="H40" s="14"/>
      <c r="I40" s="4"/>
    </row>
    <row r="41" spans="1:9" ht="15">
      <c r="A41" s="5"/>
      <c r="B41" s="4"/>
      <c r="C41" s="4" t="s">
        <v>19</v>
      </c>
      <c r="D41" s="13">
        <v>12420</v>
      </c>
      <c r="E41" s="13">
        <f>16815+14420</f>
        <v>31235</v>
      </c>
      <c r="F41" s="13">
        <f>17698+19526+11830</f>
        <v>49054</v>
      </c>
      <c r="G41" s="13">
        <v>14620</v>
      </c>
      <c r="H41" s="14"/>
      <c r="I41" s="4"/>
    </row>
    <row r="42" spans="1:9" ht="15">
      <c r="A42" s="5"/>
      <c r="B42" s="4"/>
      <c r="C42" s="4" t="s">
        <v>20</v>
      </c>
      <c r="D42" s="13">
        <v>11480</v>
      </c>
      <c r="E42" s="13">
        <f>16602+11750</f>
        <v>28352</v>
      </c>
      <c r="F42" s="13">
        <f>17093+17323+12490</f>
        <v>46906</v>
      </c>
      <c r="G42" s="13">
        <v>14890</v>
      </c>
      <c r="H42" s="14"/>
      <c r="I42" s="4"/>
    </row>
    <row r="43" spans="1:9" ht="15">
      <c r="A43" s="5"/>
      <c r="B43" s="4"/>
      <c r="C43" s="4" t="s">
        <v>21</v>
      </c>
      <c r="D43" s="13">
        <v>0</v>
      </c>
      <c r="E43" s="13">
        <v>0</v>
      </c>
      <c r="F43" s="13">
        <v>0</v>
      </c>
      <c r="G43" s="13">
        <v>0</v>
      </c>
      <c r="H43" s="14"/>
      <c r="I43" s="4"/>
    </row>
    <row r="44" spans="1:9" ht="15.75">
      <c r="A44" s="1"/>
      <c r="B44" s="2"/>
      <c r="C44" s="2" t="s">
        <v>9</v>
      </c>
      <c r="D44" s="15">
        <f aca="true" t="shared" si="1" ref="D44:G45">D5+D15+D18</f>
        <v>21</v>
      </c>
      <c r="E44" s="15">
        <f t="shared" si="1"/>
        <v>25</v>
      </c>
      <c r="F44" s="15">
        <f t="shared" si="1"/>
        <v>28</v>
      </c>
      <c r="G44" s="15">
        <f t="shared" si="1"/>
        <v>24</v>
      </c>
      <c r="H44" s="16"/>
      <c r="I44" s="4"/>
    </row>
    <row r="45" spans="1:9" ht="15.75">
      <c r="A45" s="17" t="s">
        <v>33</v>
      </c>
      <c r="B45" s="18"/>
      <c r="C45" s="19" t="s">
        <v>15</v>
      </c>
      <c r="D45" s="20">
        <f t="shared" si="1"/>
        <v>9935425</v>
      </c>
      <c r="E45" s="20">
        <f t="shared" si="1"/>
        <v>23298786</v>
      </c>
      <c r="F45" s="20">
        <f t="shared" si="1"/>
        <v>30397374.2</v>
      </c>
      <c r="G45" s="20">
        <f t="shared" si="1"/>
        <v>12022378.8</v>
      </c>
      <c r="H45" s="21">
        <f>SUM(D45:G45)</f>
        <v>75653964</v>
      </c>
      <c r="I45" s="4"/>
    </row>
    <row r="46" spans="1:9" ht="15">
      <c r="A46" s="4"/>
      <c r="B46" s="4"/>
      <c r="C46" s="4"/>
      <c r="D46" s="4"/>
      <c r="E46" s="4"/>
      <c r="F46" s="4"/>
      <c r="G46" s="4"/>
      <c r="H46" s="4"/>
      <c r="I46" s="4"/>
    </row>
  </sheetData>
  <printOptions/>
  <pageMargins left="0.5" right="0.5" top="0.5" bottom="0.5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I85"/>
  <sheetViews>
    <sheetView defaultGridColor="0" zoomScale="87" zoomScaleNormal="87" colorId="22" workbookViewId="0" topLeftCell="B27">
      <selection activeCell="G81" sqref="G81"/>
    </sheetView>
  </sheetViews>
  <sheetFormatPr defaultColWidth="9.77734375" defaultRowHeight="15"/>
  <cols>
    <col min="1" max="1" width="27.77734375" style="0" customWidth="1"/>
    <col min="2" max="2" width="13.77734375" style="0" customWidth="1"/>
    <col min="3" max="3" width="11.77734375" style="0" customWidth="1"/>
    <col min="4" max="8" width="12.77734375" style="0" customWidth="1"/>
  </cols>
  <sheetData>
    <row r="1" spans="1:9" ht="15">
      <c r="A1" s="1"/>
      <c r="B1" s="2" t="s">
        <v>0</v>
      </c>
      <c r="C1" s="2"/>
      <c r="D1" s="2"/>
      <c r="E1" s="2"/>
      <c r="F1" s="2"/>
      <c r="G1" s="2"/>
      <c r="H1" s="3"/>
      <c r="I1" s="4"/>
    </row>
    <row r="2" spans="1:9" ht="15">
      <c r="A2" s="5"/>
      <c r="B2" s="4" t="s">
        <v>34</v>
      </c>
      <c r="C2" s="4"/>
      <c r="D2" s="4"/>
      <c r="E2" s="4"/>
      <c r="F2" s="4"/>
      <c r="G2" s="4"/>
      <c r="H2" s="6"/>
      <c r="I2" s="4"/>
    </row>
    <row r="3" spans="1:9" ht="15">
      <c r="A3" s="5"/>
      <c r="B3" s="4"/>
      <c r="C3" s="4"/>
      <c r="D3" s="4"/>
      <c r="E3" s="4"/>
      <c r="F3" s="4"/>
      <c r="G3" s="4"/>
      <c r="H3" s="6"/>
      <c r="I3" s="4"/>
    </row>
    <row r="4" spans="1:9" ht="15">
      <c r="A4" s="5"/>
      <c r="B4" s="4"/>
      <c r="C4" s="4"/>
      <c r="D4" s="7" t="s">
        <v>2</v>
      </c>
      <c r="E4" s="7" t="s">
        <v>3</v>
      </c>
      <c r="F4" s="7" t="s">
        <v>4</v>
      </c>
      <c r="G4" s="7" t="s">
        <v>5</v>
      </c>
      <c r="H4" s="8" t="s">
        <v>6</v>
      </c>
      <c r="I4" s="4"/>
    </row>
    <row r="5" spans="1:9" ht="15">
      <c r="A5" s="1" t="s">
        <v>35</v>
      </c>
      <c r="B5" s="9" t="s">
        <v>8</v>
      </c>
      <c r="C5" s="2" t="s">
        <v>9</v>
      </c>
      <c r="D5" s="10">
        <v>1146</v>
      </c>
      <c r="E5" s="10">
        <v>1126</v>
      </c>
      <c r="F5" s="10">
        <v>1200</v>
      </c>
      <c r="G5" s="10">
        <v>1267</v>
      </c>
      <c r="H5" s="11"/>
      <c r="I5" s="4"/>
    </row>
    <row r="6" spans="1:9" ht="15">
      <c r="A6" s="5"/>
      <c r="B6" s="12"/>
      <c r="C6" s="4" t="s">
        <v>10</v>
      </c>
      <c r="D6" s="13">
        <v>25600855</v>
      </c>
      <c r="E6" s="13">
        <v>23731583</v>
      </c>
      <c r="F6" s="13">
        <v>27007618</v>
      </c>
      <c r="G6" s="13">
        <v>25314089</v>
      </c>
      <c r="H6" s="14">
        <f>SUM(D6:G6)</f>
        <v>101654145</v>
      </c>
      <c r="I6" s="4"/>
    </row>
    <row r="7" spans="1:9" ht="15">
      <c r="A7" s="5"/>
      <c r="B7" s="12"/>
      <c r="C7" s="4"/>
      <c r="D7" s="13"/>
      <c r="E7" s="13"/>
      <c r="F7" s="13"/>
      <c r="G7" s="13"/>
      <c r="H7" s="14"/>
      <c r="I7" s="4"/>
    </row>
    <row r="8" spans="1:9" ht="15">
      <c r="A8" s="5" t="s">
        <v>29</v>
      </c>
      <c r="B8" s="12"/>
      <c r="C8" s="4" t="s">
        <v>9</v>
      </c>
      <c r="D8" s="13">
        <f>Core!D6+Targeted!D8</f>
        <v>1139</v>
      </c>
      <c r="E8" s="13">
        <f>Core!E6+Targeted!E8</f>
        <v>1119</v>
      </c>
      <c r="F8" s="13">
        <f>Core!F6+Targeted!F8</f>
        <v>1190</v>
      </c>
      <c r="G8" s="13">
        <f>Core!G6+Targeted!G8</f>
        <v>1259</v>
      </c>
      <c r="H8" s="14"/>
      <c r="I8" s="4"/>
    </row>
    <row r="9" spans="1:9" ht="15">
      <c r="A9" s="5"/>
      <c r="B9" s="12"/>
      <c r="C9" s="4" t="s">
        <v>10</v>
      </c>
      <c r="D9" s="13">
        <f>Core!D7+Targeted!D9</f>
        <v>25351565</v>
      </c>
      <c r="E9" s="13">
        <f>Core!E7+Targeted!E9</f>
        <v>22339743</v>
      </c>
      <c r="F9" s="13">
        <f>Core!F7+Targeted!F9</f>
        <v>24387418</v>
      </c>
      <c r="G9" s="13">
        <f>Core!G7+Targeted!G9</f>
        <v>23977739</v>
      </c>
      <c r="H9" s="14">
        <f>SUM(D9:G9)</f>
        <v>96056465</v>
      </c>
      <c r="I9" s="4"/>
    </row>
    <row r="10" spans="1:9" ht="15">
      <c r="A10" s="5"/>
      <c r="B10" s="12"/>
      <c r="C10" s="4" t="s">
        <v>11</v>
      </c>
      <c r="D10" s="13">
        <f>Core!D8+Targeted!D10</f>
        <v>78876.8419999999</v>
      </c>
      <c r="E10" s="13">
        <f>Core!E8+Targeted!E10</f>
        <v>79245.67</v>
      </c>
      <c r="F10" s="13">
        <f>Core!F8+Targeted!F10</f>
        <v>81184.477</v>
      </c>
      <c r="G10" s="13">
        <f>Core!G8+Targeted!G10</f>
        <v>92847.0379999999</v>
      </c>
      <c r="H10" s="14"/>
      <c r="I10" s="4"/>
    </row>
    <row r="11" spans="1:9" ht="15">
      <c r="A11" s="5"/>
      <c r="B11" s="12"/>
      <c r="C11" s="4"/>
      <c r="D11" s="13"/>
      <c r="E11" s="13"/>
      <c r="F11" s="13"/>
      <c r="G11" s="13"/>
      <c r="H11" s="14"/>
      <c r="I11" s="4"/>
    </row>
    <row r="12" spans="1:9" ht="15">
      <c r="A12" s="5" t="s">
        <v>30</v>
      </c>
      <c r="B12" s="12"/>
      <c r="C12" s="4" t="s">
        <v>9</v>
      </c>
      <c r="D12" s="13">
        <v>7</v>
      </c>
      <c r="E12" s="13">
        <v>7</v>
      </c>
      <c r="F12" s="13">
        <v>10</v>
      </c>
      <c r="G12" s="13">
        <v>8</v>
      </c>
      <c r="H12" s="14"/>
      <c r="I12" s="4"/>
    </row>
    <row r="13" spans="1:9" ht="15">
      <c r="A13" s="5"/>
      <c r="B13" s="12"/>
      <c r="C13" s="4" t="s">
        <v>10</v>
      </c>
      <c r="D13" s="13">
        <v>249290</v>
      </c>
      <c r="E13" s="13">
        <v>1391840</v>
      </c>
      <c r="F13" s="13">
        <v>2620200</v>
      </c>
      <c r="G13" s="13">
        <v>1336350</v>
      </c>
      <c r="H13" s="14">
        <f>SUM(D13:G13)</f>
        <v>5597680</v>
      </c>
      <c r="I13" s="4"/>
    </row>
    <row r="14" spans="1:9" ht="15">
      <c r="A14" s="1" t="s">
        <v>12</v>
      </c>
      <c r="B14" s="9" t="s">
        <v>13</v>
      </c>
      <c r="C14" s="2"/>
      <c r="D14" s="10"/>
      <c r="E14" s="10"/>
      <c r="F14" s="10"/>
      <c r="G14" s="10"/>
      <c r="H14" s="11"/>
      <c r="I14" s="4"/>
    </row>
    <row r="15" spans="1:9" ht="15">
      <c r="A15" s="5"/>
      <c r="B15" s="12"/>
      <c r="C15" s="4" t="s">
        <v>9</v>
      </c>
      <c r="D15" s="13">
        <v>104</v>
      </c>
      <c r="E15" s="13">
        <v>105</v>
      </c>
      <c r="F15" s="13">
        <v>116</v>
      </c>
      <c r="G15" s="13">
        <v>115</v>
      </c>
      <c r="H15" s="14"/>
      <c r="I15" s="4"/>
    </row>
    <row r="16" spans="1:9" ht="15">
      <c r="A16" s="5"/>
      <c r="B16" s="12"/>
      <c r="C16" s="4" t="s">
        <v>10</v>
      </c>
      <c r="D16" s="13">
        <v>6414477</v>
      </c>
      <c r="E16" s="13">
        <v>5351038</v>
      </c>
      <c r="F16" s="13">
        <v>5691363</v>
      </c>
      <c r="G16" s="13">
        <v>5132604</v>
      </c>
      <c r="H16" s="14">
        <f>SUM(D16:G16)</f>
        <v>22589482</v>
      </c>
      <c r="I16" s="4"/>
    </row>
    <row r="17" spans="1:9" ht="15">
      <c r="A17" s="5"/>
      <c r="B17" s="12"/>
      <c r="C17" s="4" t="s">
        <v>11</v>
      </c>
      <c r="D17" s="13">
        <f>Core!D12+Targeted!D17</f>
        <v>17517.304</v>
      </c>
      <c r="E17" s="13">
        <f>Core!E12+Targeted!E17</f>
        <v>17266.877</v>
      </c>
      <c r="F17" s="13">
        <f>Core!F12+Targeted!F17</f>
        <v>17616.453</v>
      </c>
      <c r="G17" s="13">
        <f>Core!G12+Targeted!G17</f>
        <v>17295.537</v>
      </c>
      <c r="H17" s="14"/>
      <c r="I17" s="4"/>
    </row>
    <row r="18" spans="1:9" ht="15">
      <c r="A18" s="1" t="s">
        <v>36</v>
      </c>
      <c r="B18" s="9"/>
      <c r="C18" s="2" t="s">
        <v>9</v>
      </c>
      <c r="D18" s="10">
        <v>26</v>
      </c>
      <c r="E18" s="10">
        <v>28</v>
      </c>
      <c r="F18" s="10">
        <v>48</v>
      </c>
      <c r="G18" s="10">
        <v>36</v>
      </c>
      <c r="H18" s="11"/>
      <c r="I18" s="4"/>
    </row>
    <row r="19" spans="1:9" ht="15">
      <c r="A19" s="5"/>
      <c r="B19" s="12"/>
      <c r="C19" s="4" t="s">
        <v>15</v>
      </c>
      <c r="D19" s="13">
        <f aca="true" t="shared" si="0" ref="D19:G25">D28+D37</f>
        <v>14074975</v>
      </c>
      <c r="E19" s="13">
        <f t="shared" si="0"/>
        <v>22409541</v>
      </c>
      <c r="F19" s="13">
        <f t="shared" si="0"/>
        <v>29885910</v>
      </c>
      <c r="G19" s="13">
        <f t="shared" si="0"/>
        <v>17093219</v>
      </c>
      <c r="H19" s="14">
        <f>SUM(D19:G19)</f>
        <v>83463645</v>
      </c>
      <c r="I19" s="4"/>
    </row>
    <row r="20" spans="1:9" ht="15">
      <c r="A20" s="5"/>
      <c r="B20" s="12"/>
      <c r="C20" s="4" t="s">
        <v>16</v>
      </c>
      <c r="D20" s="13">
        <f t="shared" si="0"/>
        <v>4061111</v>
      </c>
      <c r="E20" s="13">
        <f t="shared" si="0"/>
        <v>6234721</v>
      </c>
      <c r="F20" s="13">
        <f t="shared" si="0"/>
        <v>8577852</v>
      </c>
      <c r="G20" s="13">
        <f t="shared" si="0"/>
        <v>5137489</v>
      </c>
      <c r="H20" s="14"/>
      <c r="I20" s="4"/>
    </row>
    <row r="21" spans="1:9" ht="15">
      <c r="A21" s="5"/>
      <c r="B21" s="12"/>
      <c r="C21" s="4" t="s">
        <v>17</v>
      </c>
      <c r="D21" s="13">
        <f t="shared" si="0"/>
        <v>4195955</v>
      </c>
      <c r="E21" s="13">
        <f t="shared" si="0"/>
        <v>6184742</v>
      </c>
      <c r="F21" s="13">
        <f t="shared" si="0"/>
        <v>8409650</v>
      </c>
      <c r="G21" s="13">
        <f t="shared" si="0"/>
        <v>4786747</v>
      </c>
      <c r="H21" s="14"/>
      <c r="I21" s="4"/>
    </row>
    <row r="22" spans="1:9" ht="15">
      <c r="A22" s="5"/>
      <c r="B22" s="12"/>
      <c r="C22" s="4" t="s">
        <v>18</v>
      </c>
      <c r="D22" s="13">
        <f t="shared" si="0"/>
        <v>5817909</v>
      </c>
      <c r="E22" s="13">
        <f t="shared" si="0"/>
        <v>10276671</v>
      </c>
      <c r="F22" s="13">
        <f t="shared" si="0"/>
        <v>13347205</v>
      </c>
      <c r="G22" s="13">
        <f t="shared" si="0"/>
        <v>7168983</v>
      </c>
      <c r="H22" s="14"/>
      <c r="I22" s="4"/>
    </row>
    <row r="23" spans="1:9" ht="15">
      <c r="A23" s="5"/>
      <c r="B23" s="12"/>
      <c r="C23" s="4" t="s">
        <v>19</v>
      </c>
      <c r="D23" s="13">
        <f t="shared" si="0"/>
        <v>28112.28</v>
      </c>
      <c r="E23" s="13">
        <f t="shared" si="0"/>
        <v>45326.28</v>
      </c>
      <c r="F23" s="13">
        <f t="shared" si="0"/>
        <v>81980.88</v>
      </c>
      <c r="G23" s="13">
        <f t="shared" si="0"/>
        <v>45521.6</v>
      </c>
      <c r="H23" s="14"/>
      <c r="I23" s="4"/>
    </row>
    <row r="24" spans="1:9" ht="15">
      <c r="A24" s="5"/>
      <c r="B24" s="12"/>
      <c r="C24" s="4" t="s">
        <v>20</v>
      </c>
      <c r="D24" s="13">
        <f t="shared" si="0"/>
        <v>27005.9</v>
      </c>
      <c r="E24" s="13">
        <f t="shared" si="0"/>
        <v>43966.6</v>
      </c>
      <c r="F24" s="13">
        <f t="shared" si="0"/>
        <v>76358.51999999999</v>
      </c>
      <c r="G24" s="13">
        <f t="shared" si="0"/>
        <v>44059.12</v>
      </c>
      <c r="H24" s="14"/>
      <c r="I24" s="4"/>
    </row>
    <row r="25" spans="1:9" ht="15">
      <c r="A25" s="5"/>
      <c r="B25" s="12"/>
      <c r="C25" s="4" t="s">
        <v>21</v>
      </c>
      <c r="D25" s="13">
        <f t="shared" si="0"/>
        <v>0</v>
      </c>
      <c r="E25" s="13">
        <f t="shared" si="0"/>
        <v>0</v>
      </c>
      <c r="F25" s="13">
        <f t="shared" si="0"/>
        <v>0</v>
      </c>
      <c r="G25" s="13">
        <f t="shared" si="0"/>
        <v>0</v>
      </c>
      <c r="H25" s="14"/>
      <c r="I25" s="4"/>
    </row>
    <row r="26" spans="1:9" ht="15">
      <c r="A26" s="5"/>
      <c r="B26" s="12"/>
      <c r="C26" s="4"/>
      <c r="D26" s="13"/>
      <c r="E26" s="13"/>
      <c r="F26" s="13"/>
      <c r="G26" s="13"/>
      <c r="H26" s="14"/>
      <c r="I26" s="4"/>
    </row>
    <row r="27" spans="1:9" ht="15">
      <c r="A27" s="4"/>
      <c r="B27" s="12" t="s">
        <v>13</v>
      </c>
      <c r="C27" s="4" t="s">
        <v>9</v>
      </c>
      <c r="D27" s="13">
        <f>25+1</f>
        <v>26</v>
      </c>
      <c r="E27" s="13">
        <f>25+2</f>
        <v>27</v>
      </c>
      <c r="F27" s="13">
        <f>43+3</f>
        <v>46</v>
      </c>
      <c r="G27" s="13">
        <f>35+1</f>
        <v>36</v>
      </c>
      <c r="H27" s="14"/>
      <c r="I27" s="4"/>
    </row>
    <row r="28" spans="1:9" ht="15">
      <c r="A28" s="5"/>
      <c r="B28" s="12"/>
      <c r="C28" s="4" t="s">
        <v>15</v>
      </c>
      <c r="D28" s="13">
        <f>13200260+874715</f>
        <v>14074975</v>
      </c>
      <c r="E28" s="13">
        <f>10727260+719964</f>
        <v>11447224</v>
      </c>
      <c r="F28" s="13">
        <f>11593900+909600</f>
        <v>12503500</v>
      </c>
      <c r="G28" s="13">
        <f>16338720+754499</f>
        <v>17093219</v>
      </c>
      <c r="H28" s="14">
        <f>SUM(D28:G28)</f>
        <v>55118918</v>
      </c>
      <c r="I28" s="4"/>
    </row>
    <row r="29" spans="1:9" ht="15">
      <c r="A29" s="5"/>
      <c r="B29" s="12"/>
      <c r="C29" s="4" t="s">
        <v>16</v>
      </c>
      <c r="D29" s="13">
        <f>3785200+275911</f>
        <v>4061111</v>
      </c>
      <c r="E29" s="13">
        <f>3210040+103671+243607</f>
        <v>3557318</v>
      </c>
      <c r="F29" s="13">
        <f>3600760+84947+87734+296011</f>
        <v>4069452</v>
      </c>
      <c r="G29" s="13">
        <f>4892820+244669</f>
        <v>5137489</v>
      </c>
      <c r="H29" s="14"/>
      <c r="I29" s="4"/>
    </row>
    <row r="30" spans="1:9" ht="15">
      <c r="A30" s="5"/>
      <c r="B30" s="12"/>
      <c r="C30" s="4" t="s">
        <v>17</v>
      </c>
      <c r="D30" s="13">
        <f>3963420+232535</f>
        <v>4195955</v>
      </c>
      <c r="E30" s="13">
        <f>3053420+59200+177277</f>
        <v>3289897</v>
      </c>
      <c r="F30" s="13">
        <f>3399900+43104+46546+232494</f>
        <v>3722044</v>
      </c>
      <c r="G30" s="13">
        <f>4602340+184407</f>
        <v>4786747</v>
      </c>
      <c r="H30" s="14"/>
      <c r="I30" s="4"/>
    </row>
    <row r="31" spans="1:9" ht="15">
      <c r="A31" s="5"/>
      <c r="B31" s="12"/>
      <c r="C31" s="4" t="s">
        <v>18</v>
      </c>
      <c r="D31" s="13">
        <f>5451640+366269</f>
        <v>5817909</v>
      </c>
      <c r="E31" s="13">
        <f>4463800+123722+299080</f>
        <v>4886602</v>
      </c>
      <c r="F31" s="13">
        <f>4593240+94569+91897+381095</f>
        <v>5160801</v>
      </c>
      <c r="G31" s="13">
        <f>6843560+325423</f>
        <v>7168983</v>
      </c>
      <c r="H31" s="14"/>
      <c r="I31" s="4"/>
    </row>
    <row r="32" spans="1:9" ht="15">
      <c r="A32" s="5"/>
      <c r="B32" s="12"/>
      <c r="C32" s="4" t="s">
        <v>19</v>
      </c>
      <c r="D32" s="13">
        <f>26311.28+1801</f>
        <v>28112.28</v>
      </c>
      <c r="E32" s="13">
        <f>25820.28+923+1768</f>
        <v>28511.28</v>
      </c>
      <c r="F32" s="13">
        <f>41409.88+790+818+1739</f>
        <v>44756.88</v>
      </c>
      <c r="G32" s="13">
        <f>43788.6+1733</f>
        <v>45521.6</v>
      </c>
      <c r="H32" s="14"/>
      <c r="I32" s="4"/>
    </row>
    <row r="33" spans="1:9" ht="15">
      <c r="A33" s="5"/>
      <c r="B33" s="12"/>
      <c r="C33" s="4" t="s">
        <v>20</v>
      </c>
      <c r="D33" s="13">
        <f>25258.9+1747</f>
        <v>27005.9</v>
      </c>
      <c r="E33" s="13">
        <f>24784.6+840+1740</f>
        <v>27364.6</v>
      </c>
      <c r="F33" s="13">
        <f>38765.52+788+737+1652</f>
        <v>41942.52</v>
      </c>
      <c r="G33" s="13">
        <f>42387.12+1672</f>
        <v>44059.12</v>
      </c>
      <c r="H33" s="14"/>
      <c r="I33" s="4"/>
    </row>
    <row r="34" spans="1:9" ht="15">
      <c r="A34" s="5"/>
      <c r="B34" s="12"/>
      <c r="C34" s="4" t="s">
        <v>21</v>
      </c>
      <c r="D34" s="13">
        <v>0</v>
      </c>
      <c r="E34" s="13">
        <v>0</v>
      </c>
      <c r="F34" s="13">
        <v>0</v>
      </c>
      <c r="G34" s="13">
        <v>0</v>
      </c>
      <c r="H34" s="14"/>
      <c r="I34" s="4"/>
    </row>
    <row r="35" spans="1:9" ht="15">
      <c r="A35" s="5"/>
      <c r="B35" s="12"/>
      <c r="C35" s="13"/>
      <c r="D35" s="13"/>
      <c r="E35" s="13"/>
      <c r="F35" s="13"/>
      <c r="G35" s="13"/>
      <c r="H35" s="14"/>
      <c r="I35" s="4"/>
    </row>
    <row r="36" spans="1:9" ht="15">
      <c r="A36" s="5"/>
      <c r="B36" s="12" t="s">
        <v>23</v>
      </c>
      <c r="C36" s="4" t="s">
        <v>9</v>
      </c>
      <c r="D36" s="13">
        <v>0</v>
      </c>
      <c r="E36" s="13">
        <v>1</v>
      </c>
      <c r="F36" s="13">
        <v>2</v>
      </c>
      <c r="G36" s="13">
        <v>0</v>
      </c>
      <c r="H36" s="14"/>
      <c r="I36" s="4"/>
    </row>
    <row r="37" spans="1:9" ht="15">
      <c r="A37" s="5"/>
      <c r="B37" s="12"/>
      <c r="C37" s="4" t="s">
        <v>15</v>
      </c>
      <c r="D37" s="13">
        <f>SUM(D38:D40)</f>
        <v>0</v>
      </c>
      <c r="E37" s="13">
        <f>SUM(E38:E40)</f>
        <v>10962317</v>
      </c>
      <c r="F37" s="13">
        <f>SUM(F38:F40)</f>
        <v>17382410</v>
      </c>
      <c r="G37" s="13">
        <f>SUM(G38:G40)</f>
        <v>0</v>
      </c>
      <c r="H37" s="14">
        <f>SUM(D37:G37)</f>
        <v>28344727</v>
      </c>
      <c r="I37" s="4"/>
    </row>
    <row r="38" spans="1:9" ht="15">
      <c r="A38" s="5"/>
      <c r="B38" s="12"/>
      <c r="C38" s="4" t="s">
        <v>16</v>
      </c>
      <c r="D38" s="4">
        <v>0</v>
      </c>
      <c r="E38" s="4">
        <v>2677403</v>
      </c>
      <c r="F38" s="4">
        <f>2058333+2450067</f>
        <v>4508400</v>
      </c>
      <c r="G38" s="4">
        <v>0</v>
      </c>
      <c r="H38" s="6"/>
      <c r="I38" s="4"/>
    </row>
    <row r="39" spans="1:9" ht="15">
      <c r="A39" s="5"/>
      <c r="B39" s="12"/>
      <c r="C39" s="4" t="s">
        <v>17</v>
      </c>
      <c r="D39" s="4">
        <v>0</v>
      </c>
      <c r="E39" s="4">
        <v>2894845</v>
      </c>
      <c r="F39" s="4">
        <f>2221610+2465996</f>
        <v>4687606</v>
      </c>
      <c r="G39" s="4">
        <v>0</v>
      </c>
      <c r="H39" s="6"/>
      <c r="I39" s="4"/>
    </row>
    <row r="40" spans="1:9" ht="15">
      <c r="A40" s="5"/>
      <c r="B40" s="12"/>
      <c r="C40" s="4" t="s">
        <v>18</v>
      </c>
      <c r="D40" s="4">
        <v>0</v>
      </c>
      <c r="E40" s="4">
        <v>5390069</v>
      </c>
      <c r="F40" s="4">
        <f>3937398+4249006</f>
        <v>8186404</v>
      </c>
      <c r="G40" s="4">
        <v>0</v>
      </c>
      <c r="H40" s="6"/>
      <c r="I40" s="4"/>
    </row>
    <row r="41" spans="1:9" ht="15">
      <c r="A41" s="5"/>
      <c r="B41" s="12"/>
      <c r="C41" s="4" t="s">
        <v>19</v>
      </c>
      <c r="D41" s="4">
        <v>0</v>
      </c>
      <c r="E41" s="4">
        <v>16815</v>
      </c>
      <c r="F41" s="4">
        <f>17698+19526</f>
        <v>37224</v>
      </c>
      <c r="G41" s="4">
        <v>0</v>
      </c>
      <c r="H41" s="6"/>
      <c r="I41" s="4"/>
    </row>
    <row r="42" spans="1:9" ht="15">
      <c r="A42" s="5"/>
      <c r="B42" s="12"/>
      <c r="C42" s="4" t="s">
        <v>20</v>
      </c>
      <c r="D42" s="4">
        <v>0</v>
      </c>
      <c r="E42" s="4">
        <v>16602</v>
      </c>
      <c r="F42" s="4">
        <f>17093+17323</f>
        <v>34416</v>
      </c>
      <c r="G42" s="4">
        <v>0</v>
      </c>
      <c r="H42" s="6"/>
      <c r="I42" s="4"/>
    </row>
    <row r="43" spans="1:9" ht="15">
      <c r="A43" s="5"/>
      <c r="B43" s="12"/>
      <c r="C43" s="4" t="s">
        <v>21</v>
      </c>
      <c r="D43" s="4">
        <v>0</v>
      </c>
      <c r="E43" s="4">
        <v>0</v>
      </c>
      <c r="F43" s="4">
        <v>0</v>
      </c>
      <c r="G43" s="4">
        <v>0</v>
      </c>
      <c r="H43" s="6"/>
      <c r="I43" s="4"/>
    </row>
    <row r="44" spans="1:9" ht="15">
      <c r="A44" s="1" t="s">
        <v>22</v>
      </c>
      <c r="B44" s="9" t="s">
        <v>23</v>
      </c>
      <c r="C44" s="2"/>
      <c r="D44" s="10"/>
      <c r="E44" s="10"/>
      <c r="F44" s="10"/>
      <c r="G44" s="10"/>
      <c r="H44" s="11"/>
      <c r="I44" s="4"/>
    </row>
    <row r="45" spans="1:9" ht="15">
      <c r="A45" s="5"/>
      <c r="B45" s="12"/>
      <c r="C45" s="4" t="s">
        <v>9</v>
      </c>
      <c r="D45" s="13">
        <v>8</v>
      </c>
      <c r="E45" s="13">
        <v>10</v>
      </c>
      <c r="F45" s="13">
        <v>14</v>
      </c>
      <c r="G45" s="13">
        <v>13</v>
      </c>
      <c r="H45" s="14"/>
      <c r="I45" s="4"/>
    </row>
    <row r="46" spans="1:9" ht="15">
      <c r="A46" s="5"/>
      <c r="B46" s="12"/>
      <c r="C46" s="4" t="s">
        <v>15</v>
      </c>
      <c r="D46" s="13">
        <v>4244450</v>
      </c>
      <c r="E46" s="13">
        <v>3512925</v>
      </c>
      <c r="F46" s="13">
        <v>3756700</v>
      </c>
      <c r="G46" s="13">
        <v>4483825</v>
      </c>
      <c r="H46" s="14">
        <f>SUM(D46:G46)</f>
        <v>15997900</v>
      </c>
      <c r="I46" s="4"/>
    </row>
    <row r="47" spans="1:9" ht="15">
      <c r="A47" s="5"/>
      <c r="B47" s="12"/>
      <c r="C47" s="4" t="s">
        <v>37</v>
      </c>
      <c r="D47" s="13">
        <v>11290.462</v>
      </c>
      <c r="E47" s="13">
        <v>12893.612</v>
      </c>
      <c r="F47" s="13">
        <v>21123.424</v>
      </c>
      <c r="G47" s="13">
        <v>19111.962</v>
      </c>
      <c r="H47" s="14"/>
      <c r="I47" s="4"/>
    </row>
    <row r="48" spans="1:9" ht="15">
      <c r="A48" s="5"/>
      <c r="B48" s="12"/>
      <c r="C48" s="4" t="s">
        <v>16</v>
      </c>
      <c r="D48" s="13">
        <v>1088000</v>
      </c>
      <c r="E48" s="13">
        <v>910850</v>
      </c>
      <c r="F48" s="13">
        <v>986975</v>
      </c>
      <c r="G48" s="13">
        <v>1225475</v>
      </c>
      <c r="H48" s="14"/>
      <c r="I48" s="4"/>
    </row>
    <row r="49" spans="1:9" ht="15">
      <c r="A49" s="5"/>
      <c r="B49" s="12"/>
      <c r="C49" s="4" t="s">
        <v>17</v>
      </c>
      <c r="D49" s="13">
        <v>1259975</v>
      </c>
      <c r="E49" s="13">
        <v>1043100</v>
      </c>
      <c r="F49" s="13">
        <v>1075175</v>
      </c>
      <c r="G49" s="13">
        <v>1257125</v>
      </c>
      <c r="H49" s="14"/>
      <c r="I49" s="4"/>
    </row>
    <row r="50" spans="1:9" ht="15">
      <c r="A50" s="5"/>
      <c r="B50" s="12"/>
      <c r="C50" s="4" t="s">
        <v>18</v>
      </c>
      <c r="D50" s="13">
        <v>1896475</v>
      </c>
      <c r="E50" s="13">
        <v>1558975</v>
      </c>
      <c r="F50" s="13">
        <v>1694550</v>
      </c>
      <c r="G50" s="13">
        <v>2001225</v>
      </c>
      <c r="H50" s="14"/>
      <c r="I50" s="4"/>
    </row>
    <row r="51" spans="1:9" ht="15">
      <c r="A51" s="5"/>
      <c r="B51" s="12"/>
      <c r="C51" s="4" t="s">
        <v>19</v>
      </c>
      <c r="D51" s="13">
        <v>11290.462</v>
      </c>
      <c r="E51" s="13">
        <v>12893.612</v>
      </c>
      <c r="F51" s="13">
        <v>21019.124</v>
      </c>
      <c r="G51" s="13">
        <v>18107.162</v>
      </c>
      <c r="H51" s="14"/>
      <c r="I51" s="4"/>
    </row>
    <row r="52" spans="1:9" ht="15">
      <c r="A52" s="5"/>
      <c r="B52" s="12"/>
      <c r="C52" s="4" t="s">
        <v>20</v>
      </c>
      <c r="D52" s="13">
        <v>8065.425</v>
      </c>
      <c r="E52" s="13">
        <v>8204.15</v>
      </c>
      <c r="F52" s="13">
        <v>14849.1</v>
      </c>
      <c r="G52" s="13">
        <v>15597.875</v>
      </c>
      <c r="H52" s="14"/>
      <c r="I52" s="4"/>
    </row>
    <row r="53" spans="1:9" ht="15">
      <c r="A53" s="5"/>
      <c r="B53" s="12"/>
      <c r="C53" s="4" t="s">
        <v>21</v>
      </c>
      <c r="D53" s="13">
        <v>0</v>
      </c>
      <c r="E53" s="13">
        <v>0</v>
      </c>
      <c r="F53" s="13">
        <v>0</v>
      </c>
      <c r="G53" s="13">
        <v>0</v>
      </c>
      <c r="H53" s="14"/>
      <c r="I53" s="4"/>
    </row>
    <row r="54" spans="1:9" ht="15">
      <c r="A54" s="1" t="s">
        <v>24</v>
      </c>
      <c r="B54" s="9"/>
      <c r="C54" s="2" t="s">
        <v>9</v>
      </c>
      <c r="D54" s="10">
        <v>4</v>
      </c>
      <c r="E54" s="10">
        <v>4</v>
      </c>
      <c r="F54" s="10">
        <v>4</v>
      </c>
      <c r="G54" s="10">
        <v>4</v>
      </c>
      <c r="H54" s="11"/>
      <c r="I54" s="4"/>
    </row>
    <row r="55" spans="1:9" ht="15">
      <c r="A55" s="5"/>
      <c r="B55" s="12"/>
      <c r="C55" s="4" t="s">
        <v>15</v>
      </c>
      <c r="D55" s="13">
        <v>28656500</v>
      </c>
      <c r="E55" s="13">
        <v>24762700</v>
      </c>
      <c r="F55" s="13">
        <v>22168500</v>
      </c>
      <c r="G55" s="13">
        <v>26559300</v>
      </c>
      <c r="H55" s="14">
        <f>SUM(D55:G55)</f>
        <v>102147000</v>
      </c>
      <c r="I55" s="4"/>
    </row>
    <row r="56" spans="1:9" ht="15">
      <c r="A56" s="5"/>
      <c r="B56" s="12"/>
      <c r="C56" s="4" t="s">
        <v>16</v>
      </c>
      <c r="D56" s="13">
        <f aca="true" t="shared" si="1" ref="D56:G61">D65+D74</f>
        <v>7285314</v>
      </c>
      <c r="E56" s="13">
        <f t="shared" si="1"/>
        <v>6068119</v>
      </c>
      <c r="F56" s="13">
        <f t="shared" si="1"/>
        <v>5725787</v>
      </c>
      <c r="G56" s="13">
        <f t="shared" si="1"/>
        <v>7015914</v>
      </c>
      <c r="H56" s="14"/>
      <c r="I56" s="4"/>
    </row>
    <row r="57" spans="1:9" ht="15">
      <c r="A57" s="5"/>
      <c r="B57" s="12"/>
      <c r="C57" s="4" t="s">
        <v>17</v>
      </c>
      <c r="D57" s="13">
        <f t="shared" si="1"/>
        <v>7806820</v>
      </c>
      <c r="E57" s="13">
        <f t="shared" si="1"/>
        <v>7181710</v>
      </c>
      <c r="F57" s="13">
        <f t="shared" si="1"/>
        <v>5886039</v>
      </c>
      <c r="G57" s="13">
        <f t="shared" si="1"/>
        <v>7097009</v>
      </c>
      <c r="H57" s="14"/>
      <c r="I57" s="4"/>
    </row>
    <row r="58" spans="1:9" ht="15">
      <c r="A58" s="5"/>
      <c r="B58" s="12"/>
      <c r="C58" s="4" t="s">
        <v>18</v>
      </c>
      <c r="D58" s="13">
        <f t="shared" si="1"/>
        <v>13564366</v>
      </c>
      <c r="E58" s="13">
        <f t="shared" si="1"/>
        <v>11512871</v>
      </c>
      <c r="F58" s="13">
        <f t="shared" si="1"/>
        <v>10556674</v>
      </c>
      <c r="G58" s="13">
        <f t="shared" si="1"/>
        <v>12446377</v>
      </c>
      <c r="H58" s="14"/>
      <c r="I58" s="4"/>
    </row>
    <row r="59" spans="1:9" ht="15">
      <c r="A59" s="5"/>
      <c r="B59" s="12"/>
      <c r="C59" s="4" t="s">
        <v>19</v>
      </c>
      <c r="D59" s="13">
        <f t="shared" si="1"/>
        <v>55495</v>
      </c>
      <c r="E59" s="13">
        <f t="shared" si="1"/>
        <v>57156</v>
      </c>
      <c r="F59" s="13">
        <f t="shared" si="1"/>
        <v>51772</v>
      </c>
      <c r="G59" s="13">
        <f t="shared" si="1"/>
        <v>57097</v>
      </c>
      <c r="H59" s="14"/>
      <c r="I59" s="4"/>
    </row>
    <row r="60" spans="1:9" ht="15">
      <c r="A60" s="5"/>
      <c r="B60" s="12"/>
      <c r="C60" s="4" t="s">
        <v>20</v>
      </c>
      <c r="D60" s="13">
        <f t="shared" si="1"/>
        <v>53080</v>
      </c>
      <c r="E60" s="13">
        <f t="shared" si="1"/>
        <v>54979</v>
      </c>
      <c r="F60" s="13">
        <f t="shared" si="1"/>
        <v>49437</v>
      </c>
      <c r="G60" s="13">
        <f t="shared" si="1"/>
        <v>57111</v>
      </c>
      <c r="H60" s="14"/>
      <c r="I60" s="4"/>
    </row>
    <row r="61" spans="1:9" ht="15">
      <c r="A61" s="5"/>
      <c r="B61" s="12"/>
      <c r="C61" s="4" t="s">
        <v>21</v>
      </c>
      <c r="D61" s="13">
        <f t="shared" si="1"/>
        <v>0</v>
      </c>
      <c r="E61" s="13">
        <f t="shared" si="1"/>
        <v>0</v>
      </c>
      <c r="F61" s="13">
        <f t="shared" si="1"/>
        <v>0</v>
      </c>
      <c r="G61" s="13">
        <f t="shared" si="1"/>
        <v>0</v>
      </c>
      <c r="H61" s="14"/>
      <c r="I61" s="4"/>
    </row>
    <row r="62" spans="1:9" ht="15">
      <c r="A62" s="5"/>
      <c r="B62" s="12"/>
      <c r="C62" s="4"/>
      <c r="D62" s="13"/>
      <c r="E62" s="13"/>
      <c r="F62" s="13"/>
      <c r="G62" s="13"/>
      <c r="H62" s="14"/>
      <c r="I62" s="4"/>
    </row>
    <row r="63" spans="1:9" ht="15">
      <c r="A63" s="5"/>
      <c r="B63" s="12" t="s">
        <v>23</v>
      </c>
      <c r="C63" s="4" t="s">
        <v>9</v>
      </c>
      <c r="D63" s="4">
        <v>2</v>
      </c>
      <c r="E63" s="4">
        <v>2</v>
      </c>
      <c r="F63" s="4">
        <v>2</v>
      </c>
      <c r="G63" s="4">
        <v>2</v>
      </c>
      <c r="H63" s="14"/>
      <c r="I63" s="4"/>
    </row>
    <row r="64" spans="1:9" ht="15">
      <c r="A64" s="5"/>
      <c r="B64" s="12"/>
      <c r="C64" s="4" t="s">
        <v>15</v>
      </c>
      <c r="D64" s="4">
        <f>7256000+6711500</f>
        <v>13967500</v>
      </c>
      <c r="E64" s="4">
        <f>7686100+3133600</f>
        <v>10819700</v>
      </c>
      <c r="F64" s="4">
        <f>7109700+575800</f>
        <v>7685500</v>
      </c>
      <c r="G64" s="4">
        <f>7952700+1983200</f>
        <v>9935900</v>
      </c>
      <c r="H64" s="14">
        <f>SUM(D64:G64)</f>
        <v>42408600</v>
      </c>
      <c r="I64" s="4"/>
    </row>
    <row r="65" spans="1:9" ht="15">
      <c r="A65" s="4"/>
      <c r="B65" s="12"/>
      <c r="C65" s="4" t="s">
        <v>16</v>
      </c>
      <c r="D65" s="4">
        <f>1931500+1531296</f>
        <v>3462796</v>
      </c>
      <c r="E65" s="4">
        <f>1760000+702459</f>
        <v>2462459</v>
      </c>
      <c r="F65" s="4">
        <f>1785400+84867</f>
        <v>1870267</v>
      </c>
      <c r="G65" s="4">
        <f>2272900+380874</f>
        <v>2653774</v>
      </c>
      <c r="H65" s="14"/>
      <c r="I65" s="4"/>
    </row>
    <row r="66" spans="1:9" ht="15">
      <c r="A66" s="5"/>
      <c r="B66" s="12"/>
      <c r="C66" s="4" t="s">
        <v>17</v>
      </c>
      <c r="D66" s="4">
        <f>1966300+1775192</f>
        <v>3741492</v>
      </c>
      <c r="E66" s="4">
        <f>2374000+895583</f>
        <v>3269583</v>
      </c>
      <c r="F66" s="4">
        <f>2002800+71169</f>
        <v>2073969</v>
      </c>
      <c r="G66" s="4">
        <f>2104600+456572</f>
        <v>2561172</v>
      </c>
      <c r="H66" s="14"/>
      <c r="I66" s="4"/>
    </row>
    <row r="67" spans="1:9" ht="15">
      <c r="A67" s="5"/>
      <c r="B67" s="12"/>
      <c r="C67" s="4" t="s">
        <v>18</v>
      </c>
      <c r="D67" s="4">
        <f>3358200+3405012</f>
        <v>6763212</v>
      </c>
      <c r="E67" s="4">
        <f>3552100+1535558</f>
        <v>5087658</v>
      </c>
      <c r="F67" s="4">
        <f>3262600+58900+419764</f>
        <v>3741264</v>
      </c>
      <c r="G67" s="4">
        <f>3765600+1145754</f>
        <v>4911354</v>
      </c>
      <c r="H67" s="14"/>
      <c r="I67" s="4"/>
    </row>
    <row r="68" spans="1:9" ht="15">
      <c r="A68" s="5"/>
      <c r="B68" s="12"/>
      <c r="C68" s="4" t="s">
        <v>19</v>
      </c>
      <c r="D68" s="4">
        <f>12420+17491</f>
        <v>29911</v>
      </c>
      <c r="E68" s="4">
        <f>14420+11680</f>
        <v>26100</v>
      </c>
      <c r="F68" s="4">
        <f>11830+12102</f>
        <v>23932</v>
      </c>
      <c r="G68" s="4">
        <f>14620+14733</f>
        <v>29353</v>
      </c>
      <c r="H68" s="14"/>
      <c r="I68" s="4"/>
    </row>
    <row r="69" spans="1:9" ht="15">
      <c r="A69" s="5"/>
      <c r="B69" s="12"/>
      <c r="C69" s="4" t="s">
        <v>20</v>
      </c>
      <c r="D69" s="4">
        <f>11480+17920</f>
        <v>29400</v>
      </c>
      <c r="E69" s="4">
        <f>11750+12365</f>
        <v>24115</v>
      </c>
      <c r="F69" s="4">
        <f>12490+9107</f>
        <v>21597</v>
      </c>
      <c r="G69" s="4">
        <f>14890+14189</f>
        <v>29079</v>
      </c>
      <c r="H69" s="14"/>
      <c r="I69" s="4"/>
    </row>
    <row r="70" spans="1:9" ht="15">
      <c r="A70" s="5"/>
      <c r="B70" s="12"/>
      <c r="C70" s="4" t="s">
        <v>21</v>
      </c>
      <c r="D70" s="4">
        <v>0</v>
      </c>
      <c r="E70" s="4">
        <v>0</v>
      </c>
      <c r="F70" s="4">
        <v>0</v>
      </c>
      <c r="G70" s="4">
        <v>0</v>
      </c>
      <c r="H70" s="14"/>
      <c r="I70" s="4"/>
    </row>
    <row r="71" spans="1:9" ht="15">
      <c r="A71" s="5"/>
      <c r="B71" s="12"/>
      <c r="C71" s="4"/>
      <c r="D71" s="13"/>
      <c r="E71" s="13"/>
      <c r="F71" s="13"/>
      <c r="G71" s="13"/>
      <c r="H71" s="14"/>
      <c r="I71" s="4"/>
    </row>
    <row r="72" spans="1:9" ht="15">
      <c r="A72" s="5"/>
      <c r="B72" s="12" t="s">
        <v>25</v>
      </c>
      <c r="C72" s="4" t="s">
        <v>9</v>
      </c>
      <c r="D72" s="4">
        <v>2</v>
      </c>
      <c r="E72" s="4">
        <v>2</v>
      </c>
      <c r="F72" s="4">
        <v>2</v>
      </c>
      <c r="G72" s="4">
        <v>2</v>
      </c>
      <c r="H72" s="14"/>
      <c r="I72" s="4"/>
    </row>
    <row r="73" spans="1:9" ht="15">
      <c r="A73" s="5"/>
      <c r="B73" s="12"/>
      <c r="C73" s="4" t="s">
        <v>15</v>
      </c>
      <c r="D73" s="4">
        <f>1818500+12870500</f>
        <v>14689000</v>
      </c>
      <c r="E73" s="4">
        <f>1805500+12137500</f>
        <v>13943000</v>
      </c>
      <c r="F73" s="4">
        <f>1680000+12803000</f>
        <v>14483000</v>
      </c>
      <c r="G73" s="4">
        <f>1801500+14631500</f>
        <v>16433000</v>
      </c>
      <c r="H73" s="14">
        <f>SUM(D73:G73)</f>
        <v>59548000</v>
      </c>
      <c r="I73" s="4"/>
    </row>
    <row r="74" spans="1:9" ht="15">
      <c r="A74" s="5"/>
      <c r="B74" s="12"/>
      <c r="C74" s="4" t="s">
        <v>16</v>
      </c>
      <c r="D74" s="4">
        <v>3822518</v>
      </c>
      <c r="E74" s="4">
        <v>3605660</v>
      </c>
      <c r="F74" s="4">
        <v>3855520</v>
      </c>
      <c r="G74" s="4">
        <v>4362140</v>
      </c>
      <c r="H74" s="14"/>
      <c r="I74" s="4"/>
    </row>
    <row r="75" spans="1:9" ht="15">
      <c r="A75" s="5"/>
      <c r="B75" s="12"/>
      <c r="C75" s="4" t="s">
        <v>17</v>
      </c>
      <c r="D75" s="4">
        <v>4065328</v>
      </c>
      <c r="E75" s="4">
        <v>3912127</v>
      </c>
      <c r="F75" s="4">
        <v>3812070</v>
      </c>
      <c r="G75" s="4">
        <v>4535837</v>
      </c>
      <c r="H75" s="14"/>
      <c r="I75" s="4"/>
    </row>
    <row r="76" spans="1:9" ht="15">
      <c r="A76" s="5"/>
      <c r="B76" s="12"/>
      <c r="C76" s="4" t="s">
        <v>18</v>
      </c>
      <c r="D76" s="4">
        <v>6801154</v>
      </c>
      <c r="E76" s="4">
        <v>6425213</v>
      </c>
      <c r="F76" s="4">
        <v>6815410</v>
      </c>
      <c r="G76" s="4">
        <v>7535023</v>
      </c>
      <c r="H76" s="14"/>
      <c r="I76" s="4"/>
    </row>
    <row r="77" spans="1:9" ht="15">
      <c r="A77" s="5"/>
      <c r="B77" s="12"/>
      <c r="C77" s="4" t="s">
        <v>19</v>
      </c>
      <c r="D77" s="4">
        <v>25584</v>
      </c>
      <c r="E77" s="4">
        <v>31056</v>
      </c>
      <c r="F77" s="4">
        <v>27840</v>
      </c>
      <c r="G77" s="4">
        <v>27744</v>
      </c>
      <c r="H77" s="14"/>
      <c r="I77" s="4"/>
    </row>
    <row r="78" spans="1:9" ht="15">
      <c r="A78" s="5"/>
      <c r="B78" s="12"/>
      <c r="C78" s="4" t="s">
        <v>20</v>
      </c>
      <c r="D78" s="4">
        <v>23680</v>
      </c>
      <c r="E78" s="4">
        <v>30864</v>
      </c>
      <c r="F78" s="4">
        <v>27840</v>
      </c>
      <c r="G78" s="4">
        <v>28032</v>
      </c>
      <c r="H78" s="14"/>
      <c r="I78" s="4"/>
    </row>
    <row r="79" spans="1:9" ht="15">
      <c r="A79" s="5"/>
      <c r="B79" s="12"/>
      <c r="C79" s="4" t="s">
        <v>21</v>
      </c>
      <c r="D79" s="4">
        <v>0</v>
      </c>
      <c r="E79" s="4">
        <v>0</v>
      </c>
      <c r="F79" s="4">
        <v>0</v>
      </c>
      <c r="G79" s="4">
        <v>0</v>
      </c>
      <c r="H79" s="14"/>
      <c r="I79" s="4"/>
    </row>
    <row r="80" spans="1:9" ht="15">
      <c r="A80" s="1"/>
      <c r="B80" s="2"/>
      <c r="C80" s="2" t="s">
        <v>9</v>
      </c>
      <c r="D80" s="10">
        <f>D54+D45+D18+D15+D5</f>
        <v>1288</v>
      </c>
      <c r="E80" s="10">
        <f>E54+E45+E18+E15+E5</f>
        <v>1273</v>
      </c>
      <c r="F80" s="10">
        <f>F54+F45+F18+F15+F5</f>
        <v>1382</v>
      </c>
      <c r="G80" s="10">
        <f>G54+G45+G18+G15+G5</f>
        <v>1435</v>
      </c>
      <c r="H80" s="3"/>
      <c r="I80" s="4"/>
    </row>
    <row r="81" spans="1:9" ht="15.75">
      <c r="A81" s="17" t="s">
        <v>38</v>
      </c>
      <c r="B81" s="19"/>
      <c r="C81" s="19" t="s">
        <v>10</v>
      </c>
      <c r="D81" s="24">
        <f>D55+D46+D19+D16+D6</f>
        <v>78991257</v>
      </c>
      <c r="E81" s="24">
        <f>E55+E46+E19+E16+E6</f>
        <v>79767787</v>
      </c>
      <c r="F81" s="24">
        <f>F55+F46+F19+F16+F6</f>
        <v>88510091</v>
      </c>
      <c r="G81" s="24">
        <f>G55+G46+G19+G16+G6</f>
        <v>78583037</v>
      </c>
      <c r="H81" s="25">
        <f>SUM(D81:G81)</f>
        <v>325852172</v>
      </c>
      <c r="I81" s="4"/>
    </row>
    <row r="82" spans="1:9" ht="15">
      <c r="A82" s="4"/>
      <c r="B82" s="4"/>
      <c r="C82" s="4"/>
      <c r="D82" s="13"/>
      <c r="E82" s="13"/>
      <c r="F82" s="13"/>
      <c r="G82" s="13"/>
      <c r="H82" s="13"/>
      <c r="I82" s="4"/>
    </row>
    <row r="83" spans="1:9" ht="15.75">
      <c r="A83" s="4"/>
      <c r="B83" s="4"/>
      <c r="C83" s="4"/>
      <c r="D83" s="23"/>
      <c r="E83" s="23"/>
      <c r="F83" s="23"/>
      <c r="G83" s="23"/>
      <c r="H83" s="23"/>
      <c r="I83" s="4"/>
    </row>
    <row r="84" spans="1:9" ht="15.75">
      <c r="A84" s="22"/>
      <c r="B84" s="22"/>
      <c r="C84" s="4"/>
      <c r="D84" s="23"/>
      <c r="E84" s="23"/>
      <c r="F84" s="23"/>
      <c r="G84" s="23"/>
      <c r="H84" s="23"/>
      <c r="I84" s="4"/>
    </row>
    <row r="85" spans="1:9" ht="15.75">
      <c r="A85" s="22"/>
      <c r="B85" s="22"/>
      <c r="C85" s="22"/>
      <c r="D85" s="23"/>
      <c r="E85" s="23"/>
      <c r="F85" s="23"/>
      <c r="G85" s="23"/>
      <c r="H85" s="23"/>
      <c r="I85" s="4"/>
    </row>
  </sheetData>
  <printOptions/>
  <pageMargins left="0.5" right="0.5" top="0.5" bottom="0.5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/>
  <dimension ref="A1:I157"/>
  <sheetViews>
    <sheetView tabSelected="1" defaultGridColor="0" zoomScale="87" zoomScaleNormal="87" colorId="22" workbookViewId="0" topLeftCell="A54">
      <selection activeCell="A51" sqref="A51"/>
    </sheetView>
  </sheetViews>
  <sheetFormatPr defaultColWidth="9.77734375" defaultRowHeight="15"/>
  <cols>
    <col min="1" max="1" width="34.77734375" style="0" customWidth="1"/>
    <col min="2" max="2" width="13.77734375" style="0" customWidth="1"/>
    <col min="3" max="8" width="12.77734375" style="0" customWidth="1"/>
  </cols>
  <sheetData>
    <row r="1" spans="1:9" ht="15">
      <c r="A1" s="1"/>
      <c r="B1" s="2"/>
      <c r="C1" s="2" t="s">
        <v>0</v>
      </c>
      <c r="D1" s="2"/>
      <c r="E1" s="2"/>
      <c r="F1" s="2"/>
      <c r="G1" s="2"/>
      <c r="H1" s="3"/>
      <c r="I1" s="4"/>
    </row>
    <row r="2" spans="1:9" ht="15">
      <c r="A2" s="5"/>
      <c r="B2" s="4"/>
      <c r="C2" s="4" t="s">
        <v>39</v>
      </c>
      <c r="D2" s="4"/>
      <c r="E2" s="4"/>
      <c r="F2" s="4"/>
      <c r="G2" s="4"/>
      <c r="H2" s="6"/>
      <c r="I2" s="4"/>
    </row>
    <row r="3" spans="1:9" ht="15">
      <c r="A3" s="5"/>
      <c r="B3" s="4"/>
      <c r="C3" s="4"/>
      <c r="D3" s="4"/>
      <c r="E3" s="4"/>
      <c r="F3" s="4"/>
      <c r="G3" s="4"/>
      <c r="H3" s="6"/>
      <c r="I3" s="4"/>
    </row>
    <row r="4" spans="1:9" ht="15">
      <c r="A4" s="5"/>
      <c r="B4" s="4"/>
      <c r="C4" s="4"/>
      <c r="D4" s="7" t="s">
        <v>2</v>
      </c>
      <c r="E4" s="7" t="s">
        <v>3</v>
      </c>
      <c r="F4" s="7" t="s">
        <v>4</v>
      </c>
      <c r="G4" s="7" t="s">
        <v>5</v>
      </c>
      <c r="H4" s="8" t="s">
        <v>6</v>
      </c>
      <c r="I4" s="4"/>
    </row>
    <row r="5" spans="1:9" ht="15">
      <c r="A5" s="5"/>
      <c r="B5" s="4"/>
      <c r="C5" s="4"/>
      <c r="D5" s="4"/>
      <c r="E5" s="4"/>
      <c r="F5" s="4"/>
      <c r="G5" s="4"/>
      <c r="H5" s="6"/>
      <c r="I5" s="4"/>
    </row>
    <row r="6" spans="1:9" ht="15">
      <c r="A6" s="1" t="s">
        <v>40</v>
      </c>
      <c r="B6" s="9" t="s">
        <v>8</v>
      </c>
      <c r="C6" s="2" t="s">
        <v>9</v>
      </c>
      <c r="D6" s="10">
        <v>90725</v>
      </c>
      <c r="E6" s="10">
        <v>86420</v>
      </c>
      <c r="F6" s="10">
        <v>100372</v>
      </c>
      <c r="G6" s="10">
        <v>95807</v>
      </c>
      <c r="H6" s="11"/>
      <c r="I6" s="4"/>
    </row>
    <row r="7" spans="1:9" ht="15">
      <c r="A7" s="5"/>
      <c r="B7" s="12"/>
      <c r="C7" s="4" t="s">
        <v>10</v>
      </c>
      <c r="D7" s="13">
        <v>58665193.14</v>
      </c>
      <c r="E7" s="13">
        <v>46073640.976</v>
      </c>
      <c r="F7" s="13">
        <v>52569885.057</v>
      </c>
      <c r="G7" s="13">
        <v>45420920.007</v>
      </c>
      <c r="H7" s="14">
        <f>SUM(D7:G7)</f>
        <v>202729639.17999998</v>
      </c>
      <c r="I7" s="4"/>
    </row>
    <row r="8" spans="1:9" ht="15.75">
      <c r="A8" s="26"/>
      <c r="B8" s="27"/>
      <c r="C8" s="4"/>
      <c r="D8" s="13"/>
      <c r="E8" s="13"/>
      <c r="F8" s="13"/>
      <c r="G8" s="13"/>
      <c r="H8" s="14"/>
      <c r="I8" s="4"/>
    </row>
    <row r="9" spans="1:9" ht="15">
      <c r="A9" s="1" t="s">
        <v>41</v>
      </c>
      <c r="B9" s="9" t="s">
        <v>8</v>
      </c>
      <c r="C9" s="2" t="s">
        <v>9</v>
      </c>
      <c r="D9" s="10">
        <v>13495</v>
      </c>
      <c r="E9" s="10">
        <v>13007</v>
      </c>
      <c r="F9" s="10">
        <v>14631</v>
      </c>
      <c r="G9" s="10">
        <v>14515</v>
      </c>
      <c r="H9" s="11"/>
      <c r="I9" s="4"/>
    </row>
    <row r="10" spans="1:9" ht="15">
      <c r="A10" s="5"/>
      <c r="B10" s="12"/>
      <c r="C10" s="4" t="s">
        <v>10</v>
      </c>
      <c r="D10" s="13">
        <v>16619777.944</v>
      </c>
      <c r="E10" s="13">
        <v>13819891.241</v>
      </c>
      <c r="F10" s="13">
        <v>15404536.473</v>
      </c>
      <c r="G10" s="13">
        <v>14032517.638</v>
      </c>
      <c r="H10" s="14">
        <f>SUM(D10:G10)</f>
        <v>59876723.296000004</v>
      </c>
      <c r="I10" s="4"/>
    </row>
    <row r="11" spans="1:9" ht="15.75">
      <c r="A11" s="26"/>
      <c r="B11" s="27"/>
      <c r="C11" s="22"/>
      <c r="D11" s="23"/>
      <c r="E11" s="23"/>
      <c r="F11" s="23"/>
      <c r="G11" s="23"/>
      <c r="H11" s="28"/>
      <c r="I11" s="4"/>
    </row>
    <row r="12" spans="1:9" ht="15">
      <c r="A12" s="1" t="s">
        <v>42</v>
      </c>
      <c r="B12" s="9" t="s">
        <v>8</v>
      </c>
      <c r="C12" s="2" t="s">
        <v>9</v>
      </c>
      <c r="D12" s="10">
        <v>4232</v>
      </c>
      <c r="E12" s="10">
        <v>3964</v>
      </c>
      <c r="F12" s="10">
        <v>4644</v>
      </c>
      <c r="G12" s="10">
        <v>4554</v>
      </c>
      <c r="H12" s="11"/>
      <c r="I12" s="4"/>
    </row>
    <row r="13" spans="1:9" ht="15">
      <c r="A13" s="5"/>
      <c r="B13" s="12"/>
      <c r="C13" s="4" t="s">
        <v>10</v>
      </c>
      <c r="D13" s="13">
        <v>741775</v>
      </c>
      <c r="E13" s="13">
        <v>558726</v>
      </c>
      <c r="F13" s="13">
        <v>948179</v>
      </c>
      <c r="G13" s="13">
        <v>802860</v>
      </c>
      <c r="H13" s="14">
        <f>SUM(D13:G13)</f>
        <v>3051540</v>
      </c>
      <c r="I13" s="4"/>
    </row>
    <row r="14" spans="1:9" ht="15.75">
      <c r="A14" s="26"/>
      <c r="B14" s="27"/>
      <c r="C14" s="22"/>
      <c r="D14" s="23"/>
      <c r="E14" s="23"/>
      <c r="F14" s="23"/>
      <c r="G14" s="23"/>
      <c r="H14" s="28"/>
      <c r="I14" s="4"/>
    </row>
    <row r="15" spans="1:9" ht="15.75">
      <c r="A15" s="29" t="s">
        <v>43</v>
      </c>
      <c r="B15" s="30"/>
      <c r="C15" s="2" t="s">
        <v>9</v>
      </c>
      <c r="D15" s="15">
        <f aca="true" t="shared" si="0" ref="D15:G16">D6+D9+D12</f>
        <v>108452</v>
      </c>
      <c r="E15" s="15">
        <f t="shared" si="0"/>
        <v>103391</v>
      </c>
      <c r="F15" s="15">
        <f t="shared" si="0"/>
        <v>119647</v>
      </c>
      <c r="G15" s="15">
        <f t="shared" si="0"/>
        <v>114876</v>
      </c>
      <c r="H15" s="16"/>
      <c r="I15" s="4"/>
    </row>
    <row r="16" spans="1:9" ht="15.75">
      <c r="A16" s="26"/>
      <c r="B16" s="27"/>
      <c r="C16" s="4" t="s">
        <v>10</v>
      </c>
      <c r="D16" s="23">
        <f t="shared" si="0"/>
        <v>76026746.084</v>
      </c>
      <c r="E16" s="23">
        <f t="shared" si="0"/>
        <v>60452258.21700001</v>
      </c>
      <c r="F16" s="23">
        <f t="shared" si="0"/>
        <v>68922600.53</v>
      </c>
      <c r="G16" s="23">
        <f t="shared" si="0"/>
        <v>60256297.644999996</v>
      </c>
      <c r="H16" s="28">
        <f>SUM(D16:G16)</f>
        <v>265657902.476</v>
      </c>
      <c r="I16" s="4"/>
    </row>
    <row r="17" spans="1:9" ht="15">
      <c r="A17" s="1" t="s">
        <v>35</v>
      </c>
      <c r="B17" s="9" t="s">
        <v>8</v>
      </c>
      <c r="C17" s="2" t="s">
        <v>9</v>
      </c>
      <c r="D17" s="10">
        <v>1146</v>
      </c>
      <c r="E17" s="10">
        <v>1126</v>
      </c>
      <c r="F17" s="10">
        <v>1200</v>
      </c>
      <c r="G17" s="10">
        <v>1267</v>
      </c>
      <c r="H17" s="11"/>
      <c r="I17" s="4"/>
    </row>
    <row r="18" spans="1:9" ht="15">
      <c r="A18" s="5"/>
      <c r="B18" s="12"/>
      <c r="C18" s="4" t="s">
        <v>10</v>
      </c>
      <c r="D18" s="13">
        <v>25600855</v>
      </c>
      <c r="E18" s="13">
        <v>23731583</v>
      </c>
      <c r="F18" s="13">
        <v>27007618</v>
      </c>
      <c r="G18" s="13">
        <v>25314089</v>
      </c>
      <c r="H18" s="14">
        <f>SUM(D18:G18)</f>
        <v>101654145</v>
      </c>
      <c r="I18" s="4"/>
    </row>
    <row r="19" spans="1:9" ht="15">
      <c r="A19" s="5"/>
      <c r="B19" s="12"/>
      <c r="C19" s="4"/>
      <c r="D19" s="13"/>
      <c r="E19" s="13"/>
      <c r="F19" s="13"/>
      <c r="G19" s="13"/>
      <c r="H19" s="14"/>
      <c r="I19" s="4"/>
    </row>
    <row r="20" spans="1:9" ht="15">
      <c r="A20" s="5" t="s">
        <v>29</v>
      </c>
      <c r="B20" s="12"/>
      <c r="C20" s="4" t="s">
        <v>9</v>
      </c>
      <c r="D20" s="13">
        <f>Core!D6+Targeted!D8</f>
        <v>1139</v>
      </c>
      <c r="E20" s="13">
        <f>Core!E6+Targeted!E8</f>
        <v>1119</v>
      </c>
      <c r="F20" s="13">
        <f>Core!F6+Targeted!F8</f>
        <v>1190</v>
      </c>
      <c r="G20" s="13">
        <f>Core!G6+Targeted!G8</f>
        <v>1259</v>
      </c>
      <c r="H20" s="14"/>
      <c r="I20" s="4"/>
    </row>
    <row r="21" spans="1:9" ht="15">
      <c r="A21" s="5"/>
      <c r="B21" s="12"/>
      <c r="C21" s="4" t="s">
        <v>10</v>
      </c>
      <c r="D21" s="13">
        <f>Core!D7+Targeted!D9</f>
        <v>25351565</v>
      </c>
      <c r="E21" s="13">
        <f>Core!E7+Targeted!E9</f>
        <v>22339743</v>
      </c>
      <c r="F21" s="13">
        <f>Core!F7+Targeted!F9</f>
        <v>24387418</v>
      </c>
      <c r="G21" s="13">
        <f>Core!G7+Targeted!G9</f>
        <v>23977739</v>
      </c>
      <c r="H21" s="14">
        <f>SUM(D21:G21)</f>
        <v>96056465</v>
      </c>
      <c r="I21" s="4"/>
    </row>
    <row r="22" spans="1:9" ht="15">
      <c r="A22" s="5"/>
      <c r="B22" s="12"/>
      <c r="C22" s="4" t="s">
        <v>11</v>
      </c>
      <c r="D22" s="13">
        <f>Core!D8+Targeted!D10</f>
        <v>78876.8419999999</v>
      </c>
      <c r="E22" s="13">
        <f>Core!E8+Targeted!E10</f>
        <v>79245.67</v>
      </c>
      <c r="F22" s="13">
        <f>Core!F8+Targeted!F10</f>
        <v>81184.477</v>
      </c>
      <c r="G22" s="13">
        <f>Core!G8+Targeted!G10</f>
        <v>92847.0379999999</v>
      </c>
      <c r="H22" s="14"/>
      <c r="I22" s="4"/>
    </row>
    <row r="23" spans="1:9" ht="15">
      <c r="A23" s="5"/>
      <c r="B23" s="12"/>
      <c r="C23" s="4"/>
      <c r="D23" s="13"/>
      <c r="E23" s="13"/>
      <c r="F23" s="13"/>
      <c r="G23" s="13"/>
      <c r="H23" s="14"/>
      <c r="I23" s="4"/>
    </row>
    <row r="24" spans="1:9" ht="15">
      <c r="A24" s="5" t="s">
        <v>30</v>
      </c>
      <c r="B24" s="12"/>
      <c r="C24" s="4" t="s">
        <v>9</v>
      </c>
      <c r="D24" s="13">
        <v>7</v>
      </c>
      <c r="E24" s="13">
        <v>7</v>
      </c>
      <c r="F24" s="13">
        <v>10</v>
      </c>
      <c r="G24" s="13">
        <v>8</v>
      </c>
      <c r="H24" s="14"/>
      <c r="I24" s="4"/>
    </row>
    <row r="25" spans="1:9" ht="15">
      <c r="A25" s="5"/>
      <c r="B25" s="12"/>
      <c r="C25" s="4" t="s">
        <v>10</v>
      </c>
      <c r="D25" s="13">
        <v>249290</v>
      </c>
      <c r="E25" s="13">
        <v>1391840</v>
      </c>
      <c r="F25" s="13">
        <v>2620200</v>
      </c>
      <c r="G25" s="13">
        <v>1336350</v>
      </c>
      <c r="H25" s="14">
        <f>SUM(D25:G25)</f>
        <v>5597680</v>
      </c>
      <c r="I25" s="4"/>
    </row>
    <row r="26" spans="1:9" ht="15">
      <c r="A26" s="1" t="s">
        <v>12</v>
      </c>
      <c r="B26" s="9" t="s">
        <v>13</v>
      </c>
      <c r="C26" s="2" t="s">
        <v>9</v>
      </c>
      <c r="D26" s="10">
        <v>104</v>
      </c>
      <c r="E26" s="10">
        <v>105</v>
      </c>
      <c r="F26" s="10">
        <v>116</v>
      </c>
      <c r="G26" s="10">
        <v>115</v>
      </c>
      <c r="H26" s="11"/>
      <c r="I26" s="4"/>
    </row>
    <row r="27" spans="1:9" ht="15">
      <c r="A27" s="5"/>
      <c r="B27" s="12"/>
      <c r="C27" s="4" t="s">
        <v>10</v>
      </c>
      <c r="D27" s="13">
        <v>6414477</v>
      </c>
      <c r="E27" s="13">
        <v>5351038</v>
      </c>
      <c r="F27" s="13">
        <v>5691363</v>
      </c>
      <c r="G27" s="13">
        <v>5132604</v>
      </c>
      <c r="H27" s="14">
        <f>SUM(D27:G27)</f>
        <v>22589482</v>
      </c>
      <c r="I27" s="4"/>
    </row>
    <row r="28" spans="1:9" ht="15">
      <c r="A28" s="5"/>
      <c r="B28" s="12"/>
      <c r="C28" s="4" t="s">
        <v>11</v>
      </c>
      <c r="D28" s="13">
        <v>17517.304</v>
      </c>
      <c r="E28" s="13">
        <v>17266.877</v>
      </c>
      <c r="F28" s="13">
        <v>17616.453</v>
      </c>
      <c r="G28" s="13">
        <v>17295.537</v>
      </c>
      <c r="H28" s="6"/>
      <c r="I28" s="4"/>
    </row>
    <row r="29" spans="1:9" ht="15.75">
      <c r="A29" s="29" t="s">
        <v>44</v>
      </c>
      <c r="B29" s="30"/>
      <c r="C29" s="2" t="s">
        <v>9</v>
      </c>
      <c r="D29" s="15">
        <f aca="true" t="shared" si="1" ref="D29:G30">D17+D26</f>
        <v>1250</v>
      </c>
      <c r="E29" s="15">
        <f t="shared" si="1"/>
        <v>1231</v>
      </c>
      <c r="F29" s="15">
        <f t="shared" si="1"/>
        <v>1316</v>
      </c>
      <c r="G29" s="15">
        <f t="shared" si="1"/>
        <v>1382</v>
      </c>
      <c r="H29" s="16"/>
      <c r="I29" s="4"/>
    </row>
    <row r="30" spans="1:9" ht="15.75">
      <c r="A30" s="5"/>
      <c r="B30" s="12"/>
      <c r="C30" s="4" t="s">
        <v>10</v>
      </c>
      <c r="D30" s="23">
        <f t="shared" si="1"/>
        <v>32015332</v>
      </c>
      <c r="E30" s="23">
        <f t="shared" si="1"/>
        <v>29082621</v>
      </c>
      <c r="F30" s="23">
        <f t="shared" si="1"/>
        <v>32698981</v>
      </c>
      <c r="G30" s="23">
        <f t="shared" si="1"/>
        <v>30446693</v>
      </c>
      <c r="H30" s="28">
        <f>SUM(D30:G30)</f>
        <v>124243627</v>
      </c>
      <c r="I30" s="4"/>
    </row>
    <row r="31" spans="1:9" ht="15">
      <c r="A31" s="1" t="s">
        <v>36</v>
      </c>
      <c r="B31" s="9"/>
      <c r="C31" s="2" t="s">
        <v>9</v>
      </c>
      <c r="D31" s="10">
        <v>26</v>
      </c>
      <c r="E31" s="10">
        <v>28</v>
      </c>
      <c r="F31" s="10">
        <v>48</v>
      </c>
      <c r="G31" s="10">
        <v>36</v>
      </c>
      <c r="H31" s="11"/>
      <c r="I31" s="4"/>
    </row>
    <row r="32" spans="1:9" ht="15">
      <c r="A32" s="5"/>
      <c r="B32" s="12"/>
      <c r="C32" s="4" t="s">
        <v>15</v>
      </c>
      <c r="D32" s="13">
        <f aca="true" t="shared" si="2" ref="D32:G38">D41+D50</f>
        <v>14074975</v>
      </c>
      <c r="E32" s="13">
        <f t="shared" si="2"/>
        <v>22409541</v>
      </c>
      <c r="F32" s="13">
        <f t="shared" si="2"/>
        <v>29885910</v>
      </c>
      <c r="G32" s="13">
        <f t="shared" si="2"/>
        <v>17093219</v>
      </c>
      <c r="H32" s="14">
        <f>SUM(D32:G32)</f>
        <v>83463645</v>
      </c>
      <c r="I32" s="4"/>
    </row>
    <row r="33" spans="1:9" ht="15">
      <c r="A33" s="5"/>
      <c r="B33" s="12"/>
      <c r="C33" s="4" t="s">
        <v>16</v>
      </c>
      <c r="D33" s="13">
        <f t="shared" si="2"/>
        <v>4061111</v>
      </c>
      <c r="E33" s="13">
        <f t="shared" si="2"/>
        <v>6234721</v>
      </c>
      <c r="F33" s="13">
        <f t="shared" si="2"/>
        <v>8577852</v>
      </c>
      <c r="G33" s="13">
        <f t="shared" si="2"/>
        <v>5137489</v>
      </c>
      <c r="H33" s="14"/>
      <c r="I33" s="4"/>
    </row>
    <row r="34" spans="1:9" ht="15">
      <c r="A34" s="5"/>
      <c r="B34" s="12"/>
      <c r="C34" s="4" t="s">
        <v>17</v>
      </c>
      <c r="D34" s="13">
        <f t="shared" si="2"/>
        <v>4195955</v>
      </c>
      <c r="E34" s="13">
        <f t="shared" si="2"/>
        <v>6184742</v>
      </c>
      <c r="F34" s="13">
        <f t="shared" si="2"/>
        <v>8409650</v>
      </c>
      <c r="G34" s="13">
        <f t="shared" si="2"/>
        <v>4786747</v>
      </c>
      <c r="H34" s="14"/>
      <c r="I34" s="4"/>
    </row>
    <row r="35" spans="1:9" ht="15">
      <c r="A35" s="5"/>
      <c r="B35" s="12"/>
      <c r="C35" s="4" t="s">
        <v>18</v>
      </c>
      <c r="D35" s="13">
        <f t="shared" si="2"/>
        <v>5817909</v>
      </c>
      <c r="E35" s="13">
        <f t="shared" si="2"/>
        <v>10276671</v>
      </c>
      <c r="F35" s="13">
        <f t="shared" si="2"/>
        <v>13347205</v>
      </c>
      <c r="G35" s="13">
        <f t="shared" si="2"/>
        <v>7168983</v>
      </c>
      <c r="H35" s="14"/>
      <c r="I35" s="4"/>
    </row>
    <row r="36" spans="1:9" ht="15">
      <c r="A36" s="5"/>
      <c r="B36" s="12"/>
      <c r="C36" s="4" t="s">
        <v>19</v>
      </c>
      <c r="D36" s="13">
        <f t="shared" si="2"/>
        <v>28112.28</v>
      </c>
      <c r="E36" s="13">
        <f t="shared" si="2"/>
        <v>45326.28</v>
      </c>
      <c r="F36" s="13">
        <f t="shared" si="2"/>
        <v>81980.88</v>
      </c>
      <c r="G36" s="13">
        <f t="shared" si="2"/>
        <v>45521.6</v>
      </c>
      <c r="H36" s="14"/>
      <c r="I36" s="4"/>
    </row>
    <row r="37" spans="1:9" ht="15">
      <c r="A37" s="5"/>
      <c r="B37" s="12"/>
      <c r="C37" s="4" t="s">
        <v>20</v>
      </c>
      <c r="D37" s="13">
        <f t="shared" si="2"/>
        <v>27005.9</v>
      </c>
      <c r="E37" s="13">
        <f t="shared" si="2"/>
        <v>43966.6</v>
      </c>
      <c r="F37" s="13">
        <f t="shared" si="2"/>
        <v>76358.51999999999</v>
      </c>
      <c r="G37" s="13">
        <f t="shared" si="2"/>
        <v>44059.12</v>
      </c>
      <c r="H37" s="14"/>
      <c r="I37" s="4"/>
    </row>
    <row r="38" spans="1:9" ht="15">
      <c r="A38" s="5"/>
      <c r="B38" s="12"/>
      <c r="C38" s="4" t="s">
        <v>21</v>
      </c>
      <c r="D38" s="13">
        <f t="shared" si="2"/>
        <v>0</v>
      </c>
      <c r="E38" s="13">
        <f t="shared" si="2"/>
        <v>0</v>
      </c>
      <c r="F38" s="13">
        <f t="shared" si="2"/>
        <v>0</v>
      </c>
      <c r="G38" s="13">
        <f t="shared" si="2"/>
        <v>0</v>
      </c>
      <c r="H38" s="14"/>
      <c r="I38" s="4"/>
    </row>
    <row r="39" spans="1:9" ht="15">
      <c r="A39" s="5"/>
      <c r="B39" s="12"/>
      <c r="C39" s="4"/>
      <c r="D39" s="13"/>
      <c r="E39" s="13"/>
      <c r="F39" s="13"/>
      <c r="G39" s="13"/>
      <c r="H39" s="14"/>
      <c r="I39" s="4"/>
    </row>
    <row r="40" spans="1:9" ht="15">
      <c r="A40" s="5"/>
      <c r="B40" s="12" t="s">
        <v>13</v>
      </c>
      <c r="C40" s="4" t="s">
        <v>9</v>
      </c>
      <c r="D40" s="13">
        <f>25+1</f>
        <v>26</v>
      </c>
      <c r="E40" s="13">
        <f>25+2</f>
        <v>27</v>
      </c>
      <c r="F40" s="13">
        <f>43+3</f>
        <v>46</v>
      </c>
      <c r="G40" s="13">
        <f>35+1</f>
        <v>36</v>
      </c>
      <c r="H40" s="14"/>
      <c r="I40" s="4"/>
    </row>
    <row r="41" spans="1:9" ht="15">
      <c r="A41" s="5"/>
      <c r="B41" s="12"/>
      <c r="C41" s="4" t="s">
        <v>15</v>
      </c>
      <c r="D41" s="13">
        <f>13200260+874715</f>
        <v>14074975</v>
      </c>
      <c r="E41" s="13">
        <f>10727260+719964</f>
        <v>11447224</v>
      </c>
      <c r="F41" s="13">
        <f>11593900+909600</f>
        <v>12503500</v>
      </c>
      <c r="G41" s="13">
        <f>16338720+754499</f>
        <v>17093219</v>
      </c>
      <c r="H41" s="14">
        <f>SUM(D41:G41)</f>
        <v>55118918</v>
      </c>
      <c r="I41" s="4"/>
    </row>
    <row r="42" spans="1:9" ht="15">
      <c r="A42" s="5"/>
      <c r="B42" s="12"/>
      <c r="C42" s="4" t="s">
        <v>16</v>
      </c>
      <c r="D42" s="13">
        <f>3785200+275911</f>
        <v>4061111</v>
      </c>
      <c r="E42" s="13">
        <f>3210040+103671+243607</f>
        <v>3557318</v>
      </c>
      <c r="F42" s="13">
        <f>3600760+84947+87734+296011</f>
        <v>4069452</v>
      </c>
      <c r="G42" s="13">
        <f>4892820+244669</f>
        <v>5137489</v>
      </c>
      <c r="H42" s="14"/>
      <c r="I42" s="4"/>
    </row>
    <row r="43" spans="1:9" ht="15">
      <c r="A43" s="5"/>
      <c r="B43" s="12"/>
      <c r="C43" s="4" t="s">
        <v>17</v>
      </c>
      <c r="D43" s="13">
        <f>3963420+232535</f>
        <v>4195955</v>
      </c>
      <c r="E43" s="13">
        <f>3053420+59200+177277</f>
        <v>3289897</v>
      </c>
      <c r="F43" s="13">
        <f>3399900+43104+46546+232494</f>
        <v>3722044</v>
      </c>
      <c r="G43" s="13">
        <f>4602340+184407</f>
        <v>4786747</v>
      </c>
      <c r="H43" s="14"/>
      <c r="I43" s="4"/>
    </row>
    <row r="44" spans="1:9" ht="15">
      <c r="A44" s="5"/>
      <c r="B44" s="12"/>
      <c r="C44" s="4" t="s">
        <v>18</v>
      </c>
      <c r="D44" s="13">
        <f>5451640+366269</f>
        <v>5817909</v>
      </c>
      <c r="E44" s="13">
        <f>4463800+123722+299080</f>
        <v>4886602</v>
      </c>
      <c r="F44" s="13">
        <f>4593240+94569+91897+381095</f>
        <v>5160801</v>
      </c>
      <c r="G44" s="13">
        <f>6843560+325423</f>
        <v>7168983</v>
      </c>
      <c r="H44" s="14"/>
      <c r="I44" s="4"/>
    </row>
    <row r="45" spans="1:9" ht="15">
      <c r="A45" s="5"/>
      <c r="B45" s="12"/>
      <c r="C45" s="4" t="s">
        <v>19</v>
      </c>
      <c r="D45" s="13">
        <f>26311.28+1801</f>
        <v>28112.28</v>
      </c>
      <c r="E45" s="13">
        <f>25820.28+923+1768</f>
        <v>28511.28</v>
      </c>
      <c r="F45" s="13">
        <f>41409.88+790+818+1739</f>
        <v>44756.88</v>
      </c>
      <c r="G45" s="13">
        <f>43788.6+1733</f>
        <v>45521.6</v>
      </c>
      <c r="H45" s="14"/>
      <c r="I45" s="4"/>
    </row>
    <row r="46" spans="1:9" ht="15">
      <c r="A46" s="5"/>
      <c r="B46" s="12"/>
      <c r="C46" s="4" t="s">
        <v>20</v>
      </c>
      <c r="D46" s="13">
        <f>25258.9+1747</f>
        <v>27005.9</v>
      </c>
      <c r="E46" s="13">
        <f>24784.6+840+1740</f>
        <v>27364.6</v>
      </c>
      <c r="F46" s="13">
        <f>38765.52+788+737+1652</f>
        <v>41942.52</v>
      </c>
      <c r="G46" s="13">
        <f>42387.12+1672</f>
        <v>44059.12</v>
      </c>
      <c r="H46" s="14"/>
      <c r="I46" s="4"/>
    </row>
    <row r="47" spans="1:9" ht="15">
      <c r="A47" s="5"/>
      <c r="B47" s="12"/>
      <c r="C47" s="4" t="s">
        <v>21</v>
      </c>
      <c r="D47" s="13">
        <v>0</v>
      </c>
      <c r="E47" s="13">
        <v>0</v>
      </c>
      <c r="F47" s="13">
        <v>0</v>
      </c>
      <c r="G47" s="13">
        <v>0</v>
      </c>
      <c r="H47" s="14"/>
      <c r="I47" s="4"/>
    </row>
    <row r="48" spans="1:9" ht="15">
      <c r="A48" s="5"/>
      <c r="B48" s="12"/>
      <c r="C48" s="13"/>
      <c r="D48" s="13"/>
      <c r="E48" s="13"/>
      <c r="F48" s="13"/>
      <c r="G48" s="13"/>
      <c r="H48" s="14"/>
      <c r="I48" s="4"/>
    </row>
    <row r="49" spans="1:9" ht="15">
      <c r="A49" s="5"/>
      <c r="B49" s="12" t="s">
        <v>23</v>
      </c>
      <c r="C49" s="4" t="s">
        <v>9</v>
      </c>
      <c r="D49" s="13">
        <v>0</v>
      </c>
      <c r="E49" s="13">
        <v>1</v>
      </c>
      <c r="F49" s="13">
        <v>2</v>
      </c>
      <c r="G49" s="13">
        <v>0</v>
      </c>
      <c r="H49" s="14"/>
      <c r="I49" s="4"/>
    </row>
    <row r="50" spans="1:9" ht="15">
      <c r="A50" s="5"/>
      <c r="B50" s="12"/>
      <c r="C50" s="4" t="s">
        <v>15</v>
      </c>
      <c r="D50" s="13">
        <f>SUM(D51:D53)</f>
        <v>0</v>
      </c>
      <c r="E50" s="13">
        <f>SUM(E51:E53)</f>
        <v>10962317</v>
      </c>
      <c r="F50" s="13">
        <f>SUM(F51:F53)</f>
        <v>17382410</v>
      </c>
      <c r="G50" s="13">
        <f>SUM(G51:G53)</f>
        <v>0</v>
      </c>
      <c r="H50" s="14">
        <f>SUM(D50:G50)</f>
        <v>28344727</v>
      </c>
      <c r="I50" s="4"/>
    </row>
    <row r="51" spans="1:9" ht="15">
      <c r="A51" s="5"/>
      <c r="B51" s="12"/>
      <c r="C51" s="4" t="s">
        <v>16</v>
      </c>
      <c r="D51" s="4">
        <v>0</v>
      </c>
      <c r="E51" s="4">
        <v>2677403</v>
      </c>
      <c r="F51" s="4">
        <f>2058333+2450067</f>
        <v>4508400</v>
      </c>
      <c r="G51" s="4">
        <v>0</v>
      </c>
      <c r="H51" s="6"/>
      <c r="I51" s="4"/>
    </row>
    <row r="52" spans="1:9" ht="15">
      <c r="A52" s="5"/>
      <c r="B52" s="12"/>
      <c r="C52" s="4" t="s">
        <v>17</v>
      </c>
      <c r="D52" s="4">
        <v>0</v>
      </c>
      <c r="E52" s="4">
        <v>2894845</v>
      </c>
      <c r="F52" s="4">
        <f>2221610+2465996</f>
        <v>4687606</v>
      </c>
      <c r="G52" s="4">
        <v>0</v>
      </c>
      <c r="H52" s="6"/>
      <c r="I52" s="4"/>
    </row>
    <row r="53" spans="1:9" ht="15">
      <c r="A53" s="5"/>
      <c r="B53" s="12"/>
      <c r="C53" s="4" t="s">
        <v>18</v>
      </c>
      <c r="D53" s="4">
        <v>0</v>
      </c>
      <c r="E53" s="4">
        <v>5390069</v>
      </c>
      <c r="F53" s="4">
        <f>3937398+4249006</f>
        <v>8186404</v>
      </c>
      <c r="G53" s="4">
        <v>0</v>
      </c>
      <c r="H53" s="6"/>
      <c r="I53" s="4"/>
    </row>
    <row r="54" spans="1:9" ht="15">
      <c r="A54" s="5"/>
      <c r="B54" s="12"/>
      <c r="C54" s="4" t="s">
        <v>19</v>
      </c>
      <c r="D54" s="4">
        <v>0</v>
      </c>
      <c r="E54" s="4">
        <v>16815</v>
      </c>
      <c r="F54" s="4">
        <f>17698+19526</f>
        <v>37224</v>
      </c>
      <c r="G54" s="4">
        <v>0</v>
      </c>
      <c r="H54" s="6"/>
      <c r="I54" s="4"/>
    </row>
    <row r="55" spans="1:9" ht="15">
      <c r="A55" s="5"/>
      <c r="B55" s="12"/>
      <c r="C55" s="4" t="s">
        <v>20</v>
      </c>
      <c r="D55" s="4">
        <v>0</v>
      </c>
      <c r="E55" s="4">
        <v>16602</v>
      </c>
      <c r="F55" s="4">
        <f>17093+17323</f>
        <v>34416</v>
      </c>
      <c r="G55" s="4">
        <v>0</v>
      </c>
      <c r="H55" s="6"/>
      <c r="I55" s="4"/>
    </row>
    <row r="56" spans="1:9" ht="15">
      <c r="A56" s="5"/>
      <c r="B56" s="12"/>
      <c r="C56" s="4" t="s">
        <v>21</v>
      </c>
      <c r="D56" s="4">
        <v>0</v>
      </c>
      <c r="E56" s="4">
        <v>0</v>
      </c>
      <c r="F56" s="4">
        <v>0</v>
      </c>
      <c r="G56" s="4">
        <v>0</v>
      </c>
      <c r="H56" s="6"/>
      <c r="I56" s="4"/>
    </row>
    <row r="57" spans="1:9" ht="15">
      <c r="A57" s="1" t="s">
        <v>22</v>
      </c>
      <c r="B57" s="9" t="s">
        <v>23</v>
      </c>
      <c r="C57" s="2"/>
      <c r="D57" s="10"/>
      <c r="E57" s="10"/>
      <c r="F57" s="10"/>
      <c r="G57" s="10"/>
      <c r="H57" s="11"/>
      <c r="I57" s="4"/>
    </row>
    <row r="58" spans="1:9" ht="15">
      <c r="A58" s="5"/>
      <c r="B58" s="12"/>
      <c r="C58" s="4" t="s">
        <v>9</v>
      </c>
      <c r="D58" s="13">
        <v>8</v>
      </c>
      <c r="E58" s="13">
        <v>10</v>
      </c>
      <c r="F58" s="13">
        <v>14</v>
      </c>
      <c r="G58" s="13">
        <v>13</v>
      </c>
      <c r="H58" s="14"/>
      <c r="I58" s="4"/>
    </row>
    <row r="59" spans="1:9" ht="15">
      <c r="A59" s="5"/>
      <c r="B59" s="12"/>
      <c r="C59" s="4" t="s">
        <v>15</v>
      </c>
      <c r="D59" s="13">
        <v>4244450</v>
      </c>
      <c r="E59" s="13">
        <v>3512925</v>
      </c>
      <c r="F59" s="13">
        <v>3756700</v>
      </c>
      <c r="G59" s="13">
        <v>4483825</v>
      </c>
      <c r="H59" s="14">
        <f>SUM(D59:G59)</f>
        <v>15997900</v>
      </c>
      <c r="I59" s="4"/>
    </row>
    <row r="60" spans="1:9" ht="15">
      <c r="A60" s="5"/>
      <c r="B60" s="12"/>
      <c r="C60" s="4" t="s">
        <v>37</v>
      </c>
      <c r="D60" s="13">
        <v>11290.462</v>
      </c>
      <c r="E60" s="13">
        <v>12893.612</v>
      </c>
      <c r="F60" s="13">
        <v>21123.424</v>
      </c>
      <c r="G60" s="13">
        <v>19111.962</v>
      </c>
      <c r="H60" s="14"/>
      <c r="I60" s="4"/>
    </row>
    <row r="61" spans="1:9" ht="15">
      <c r="A61" s="5"/>
      <c r="B61" s="12"/>
      <c r="C61" s="4" t="s">
        <v>16</v>
      </c>
      <c r="D61" s="13">
        <v>1088000</v>
      </c>
      <c r="E61" s="13">
        <v>910850</v>
      </c>
      <c r="F61" s="13">
        <v>986975</v>
      </c>
      <c r="G61" s="13">
        <v>1225475</v>
      </c>
      <c r="H61" s="14"/>
      <c r="I61" s="4"/>
    </row>
    <row r="62" spans="1:9" ht="15">
      <c r="A62" s="5"/>
      <c r="B62" s="12"/>
      <c r="C62" s="4" t="s">
        <v>17</v>
      </c>
      <c r="D62" s="13">
        <v>1259975</v>
      </c>
      <c r="E62" s="13">
        <v>1043100</v>
      </c>
      <c r="F62" s="13">
        <v>1075175</v>
      </c>
      <c r="G62" s="13">
        <v>1257125</v>
      </c>
      <c r="H62" s="14"/>
      <c r="I62" s="4"/>
    </row>
    <row r="63" spans="1:9" ht="15">
      <c r="A63" s="5"/>
      <c r="B63" s="12"/>
      <c r="C63" s="4" t="s">
        <v>18</v>
      </c>
      <c r="D63" s="13">
        <v>1896475</v>
      </c>
      <c r="E63" s="13">
        <v>1558975</v>
      </c>
      <c r="F63" s="13">
        <v>1694550</v>
      </c>
      <c r="G63" s="13">
        <v>2001225</v>
      </c>
      <c r="H63" s="14"/>
      <c r="I63" s="4"/>
    </row>
    <row r="64" spans="1:9" ht="15">
      <c r="A64" s="5"/>
      <c r="B64" s="12"/>
      <c r="C64" s="4" t="s">
        <v>19</v>
      </c>
      <c r="D64" s="13">
        <v>11290.462</v>
      </c>
      <c r="E64" s="13">
        <v>12893.612</v>
      </c>
      <c r="F64" s="13">
        <v>21019.124</v>
      </c>
      <c r="G64" s="13">
        <v>18107.162</v>
      </c>
      <c r="H64" s="14"/>
      <c r="I64" s="4"/>
    </row>
    <row r="65" spans="1:9" ht="15">
      <c r="A65" s="5"/>
      <c r="B65" s="12"/>
      <c r="C65" s="4" t="s">
        <v>20</v>
      </c>
      <c r="D65" s="13">
        <v>8065.425</v>
      </c>
      <c r="E65" s="13">
        <v>8204.15</v>
      </c>
      <c r="F65" s="13">
        <v>14849.1</v>
      </c>
      <c r="G65" s="13">
        <v>15597.875</v>
      </c>
      <c r="H65" s="14"/>
      <c r="I65" s="4"/>
    </row>
    <row r="66" spans="1:9" ht="15">
      <c r="A66" s="5"/>
      <c r="B66" s="12"/>
      <c r="C66" s="4" t="s">
        <v>21</v>
      </c>
      <c r="D66" s="13">
        <v>0</v>
      </c>
      <c r="E66" s="13">
        <v>0</v>
      </c>
      <c r="F66" s="13">
        <v>0</v>
      </c>
      <c r="G66" s="13">
        <v>0</v>
      </c>
      <c r="H66" s="14"/>
      <c r="I66" s="4"/>
    </row>
    <row r="67" spans="1:9" ht="15">
      <c r="A67" s="1" t="s">
        <v>24</v>
      </c>
      <c r="B67" s="9"/>
      <c r="C67" s="2" t="s">
        <v>9</v>
      </c>
      <c r="D67" s="10">
        <v>4</v>
      </c>
      <c r="E67" s="10">
        <v>4</v>
      </c>
      <c r="F67" s="10">
        <v>4</v>
      </c>
      <c r="G67" s="10">
        <v>4</v>
      </c>
      <c r="H67" s="11"/>
      <c r="I67" s="4"/>
    </row>
    <row r="68" spans="1:9" ht="15">
      <c r="A68" s="5"/>
      <c r="B68" s="12"/>
      <c r="C68" s="4" t="s">
        <v>15</v>
      </c>
      <c r="D68" s="13">
        <v>28656500</v>
      </c>
      <c r="E68" s="13">
        <v>24762700</v>
      </c>
      <c r="F68" s="13">
        <v>22168500</v>
      </c>
      <c r="G68" s="13">
        <v>26559300</v>
      </c>
      <c r="H68" s="14">
        <f>SUM(D68:G68)</f>
        <v>102147000</v>
      </c>
      <c r="I68" s="4"/>
    </row>
    <row r="69" spans="1:9" ht="15">
      <c r="A69" s="5"/>
      <c r="B69" s="12"/>
      <c r="C69" s="4" t="s">
        <v>16</v>
      </c>
      <c r="D69" s="13">
        <f aca="true" t="shared" si="3" ref="D69:G74">D78+D87</f>
        <v>7285314</v>
      </c>
      <c r="E69" s="13">
        <f t="shared" si="3"/>
        <v>6068119</v>
      </c>
      <c r="F69" s="13">
        <f t="shared" si="3"/>
        <v>5725787</v>
      </c>
      <c r="G69" s="13">
        <f t="shared" si="3"/>
        <v>7015914</v>
      </c>
      <c r="H69" s="14"/>
      <c r="I69" s="4"/>
    </row>
    <row r="70" spans="1:9" ht="15">
      <c r="A70" s="5"/>
      <c r="B70" s="12"/>
      <c r="C70" s="4" t="s">
        <v>17</v>
      </c>
      <c r="D70" s="13">
        <f t="shared" si="3"/>
        <v>7806820</v>
      </c>
      <c r="E70" s="13">
        <f t="shared" si="3"/>
        <v>7181710</v>
      </c>
      <c r="F70" s="13">
        <f t="shared" si="3"/>
        <v>5886039</v>
      </c>
      <c r="G70" s="13">
        <f t="shared" si="3"/>
        <v>7097009</v>
      </c>
      <c r="H70" s="14"/>
      <c r="I70" s="4"/>
    </row>
    <row r="71" spans="1:9" ht="15">
      <c r="A71" s="5"/>
      <c r="B71" s="12"/>
      <c r="C71" s="4" t="s">
        <v>18</v>
      </c>
      <c r="D71" s="13">
        <f t="shared" si="3"/>
        <v>13564366</v>
      </c>
      <c r="E71" s="13">
        <f t="shared" si="3"/>
        <v>11512871</v>
      </c>
      <c r="F71" s="13">
        <f t="shared" si="3"/>
        <v>10556674</v>
      </c>
      <c r="G71" s="13">
        <f t="shared" si="3"/>
        <v>12446377</v>
      </c>
      <c r="H71" s="14"/>
      <c r="I71" s="4"/>
    </row>
    <row r="72" spans="1:9" ht="15">
      <c r="A72" s="5"/>
      <c r="B72" s="12"/>
      <c r="C72" s="4" t="s">
        <v>19</v>
      </c>
      <c r="D72" s="13">
        <f t="shared" si="3"/>
        <v>55495</v>
      </c>
      <c r="E72" s="13">
        <f t="shared" si="3"/>
        <v>57156</v>
      </c>
      <c r="F72" s="13">
        <f t="shared" si="3"/>
        <v>51772</v>
      </c>
      <c r="G72" s="13">
        <f t="shared" si="3"/>
        <v>57097</v>
      </c>
      <c r="H72" s="14"/>
      <c r="I72" s="4"/>
    </row>
    <row r="73" spans="1:9" ht="15">
      <c r="A73" s="5"/>
      <c r="B73" s="12"/>
      <c r="C73" s="4" t="s">
        <v>20</v>
      </c>
      <c r="D73" s="13">
        <f t="shared" si="3"/>
        <v>53080</v>
      </c>
      <c r="E73" s="13">
        <f t="shared" si="3"/>
        <v>54979</v>
      </c>
      <c r="F73" s="13">
        <f t="shared" si="3"/>
        <v>49437</v>
      </c>
      <c r="G73" s="13">
        <f t="shared" si="3"/>
        <v>57111</v>
      </c>
      <c r="H73" s="14"/>
      <c r="I73" s="4"/>
    </row>
    <row r="74" spans="1:9" ht="15">
      <c r="A74" s="5"/>
      <c r="B74" s="12"/>
      <c r="C74" s="4" t="s">
        <v>21</v>
      </c>
      <c r="D74" s="13">
        <f t="shared" si="3"/>
        <v>0</v>
      </c>
      <c r="E74" s="13">
        <f t="shared" si="3"/>
        <v>0</v>
      </c>
      <c r="F74" s="13">
        <f t="shared" si="3"/>
        <v>0</v>
      </c>
      <c r="G74" s="13">
        <f t="shared" si="3"/>
        <v>0</v>
      </c>
      <c r="H74" s="14"/>
      <c r="I74" s="4"/>
    </row>
    <row r="75" spans="1:9" ht="15">
      <c r="A75" s="5"/>
      <c r="B75" s="12"/>
      <c r="C75" s="4"/>
      <c r="D75" s="13"/>
      <c r="E75" s="13"/>
      <c r="F75" s="13"/>
      <c r="G75" s="13"/>
      <c r="H75" s="14"/>
      <c r="I75" s="4"/>
    </row>
    <row r="76" spans="1:9" ht="15">
      <c r="A76" s="5"/>
      <c r="B76" s="12" t="s">
        <v>23</v>
      </c>
      <c r="C76" s="4" t="s">
        <v>9</v>
      </c>
      <c r="D76" s="4">
        <v>2</v>
      </c>
      <c r="E76" s="4">
        <v>2</v>
      </c>
      <c r="F76" s="4">
        <v>2</v>
      </c>
      <c r="G76" s="4">
        <v>2</v>
      </c>
      <c r="H76" s="14"/>
      <c r="I76" s="4"/>
    </row>
    <row r="77" spans="1:9" ht="15">
      <c r="A77" s="5"/>
      <c r="B77" s="12"/>
      <c r="C77" s="4" t="s">
        <v>15</v>
      </c>
      <c r="D77" s="4">
        <f>7256000+6711500</f>
        <v>13967500</v>
      </c>
      <c r="E77" s="4">
        <f>7686100+3133600</f>
        <v>10819700</v>
      </c>
      <c r="F77" s="4">
        <f>7109700+575800</f>
        <v>7685500</v>
      </c>
      <c r="G77" s="4">
        <f>7952700+1983200</f>
        <v>9935900</v>
      </c>
      <c r="H77" s="14">
        <f>SUM(D77:G77)</f>
        <v>42408600</v>
      </c>
      <c r="I77" s="4"/>
    </row>
    <row r="78" spans="1:9" ht="15">
      <c r="A78" s="5"/>
      <c r="B78" s="12"/>
      <c r="C78" s="4" t="s">
        <v>16</v>
      </c>
      <c r="D78" s="4">
        <f>1931500+1531296</f>
        <v>3462796</v>
      </c>
      <c r="E78" s="4">
        <f>1760000+702459</f>
        <v>2462459</v>
      </c>
      <c r="F78" s="4">
        <f>1785400+84867</f>
        <v>1870267</v>
      </c>
      <c r="G78" s="4">
        <f>2272900+380874</f>
        <v>2653774</v>
      </c>
      <c r="H78" s="14"/>
      <c r="I78" s="4"/>
    </row>
    <row r="79" spans="1:9" ht="15">
      <c r="A79" s="5"/>
      <c r="B79" s="12"/>
      <c r="C79" s="4" t="s">
        <v>17</v>
      </c>
      <c r="D79" s="4">
        <f>1966300+1775192</f>
        <v>3741492</v>
      </c>
      <c r="E79" s="4">
        <f>2374000+895583</f>
        <v>3269583</v>
      </c>
      <c r="F79" s="4">
        <f>2002800+71169</f>
        <v>2073969</v>
      </c>
      <c r="G79" s="4">
        <f>2104600+456572</f>
        <v>2561172</v>
      </c>
      <c r="H79" s="14"/>
      <c r="I79" s="4"/>
    </row>
    <row r="80" spans="1:9" ht="15">
      <c r="A80" s="5"/>
      <c r="B80" s="12"/>
      <c r="C80" s="4" t="s">
        <v>18</v>
      </c>
      <c r="D80" s="4">
        <f>3358200+3405012</f>
        <v>6763212</v>
      </c>
      <c r="E80" s="4">
        <f>3552100+1535558</f>
        <v>5087658</v>
      </c>
      <c r="F80" s="4">
        <f>3262600+58900+419764</f>
        <v>3741264</v>
      </c>
      <c r="G80" s="4">
        <f>3765600+1145754</f>
        <v>4911354</v>
      </c>
      <c r="H80" s="14"/>
      <c r="I80" s="4"/>
    </row>
    <row r="81" spans="1:9" ht="15">
      <c r="A81" s="5"/>
      <c r="B81" s="12"/>
      <c r="C81" s="4" t="s">
        <v>19</v>
      </c>
      <c r="D81" s="4">
        <f>12420+17491</f>
        <v>29911</v>
      </c>
      <c r="E81" s="4">
        <f>14420+11680</f>
        <v>26100</v>
      </c>
      <c r="F81" s="4">
        <f>11830+12102</f>
        <v>23932</v>
      </c>
      <c r="G81" s="4">
        <f>14620+14733</f>
        <v>29353</v>
      </c>
      <c r="H81" s="14"/>
      <c r="I81" s="4"/>
    </row>
    <row r="82" spans="1:9" ht="15">
      <c r="A82" s="5"/>
      <c r="B82" s="12"/>
      <c r="C82" s="4" t="s">
        <v>20</v>
      </c>
      <c r="D82" s="4">
        <f>11480+17920</f>
        <v>29400</v>
      </c>
      <c r="E82" s="4">
        <f>11750+12365</f>
        <v>24115</v>
      </c>
      <c r="F82" s="4">
        <f>12490+9107</f>
        <v>21597</v>
      </c>
      <c r="G82" s="4">
        <f>14890+14189</f>
        <v>29079</v>
      </c>
      <c r="H82" s="14"/>
      <c r="I82" s="4"/>
    </row>
    <row r="83" spans="1:9" ht="15">
      <c r="A83" s="5"/>
      <c r="B83" s="12"/>
      <c r="C83" s="4" t="s">
        <v>21</v>
      </c>
      <c r="D83" s="4">
        <v>0</v>
      </c>
      <c r="E83" s="4">
        <v>0</v>
      </c>
      <c r="F83" s="4">
        <v>0</v>
      </c>
      <c r="G83" s="4">
        <v>0</v>
      </c>
      <c r="H83" s="14"/>
      <c r="I83" s="4"/>
    </row>
    <row r="84" spans="1:9" ht="15">
      <c r="A84" s="5"/>
      <c r="B84" s="12"/>
      <c r="C84" s="4"/>
      <c r="D84" s="13"/>
      <c r="E84" s="13"/>
      <c r="F84" s="13"/>
      <c r="G84" s="13"/>
      <c r="H84" s="14"/>
      <c r="I84" s="4"/>
    </row>
    <row r="85" spans="1:9" ht="15">
      <c r="A85" s="5"/>
      <c r="B85" s="12" t="s">
        <v>25</v>
      </c>
      <c r="C85" s="4" t="s">
        <v>9</v>
      </c>
      <c r="D85" s="4">
        <v>2</v>
      </c>
      <c r="E85" s="4">
        <v>2</v>
      </c>
      <c r="F85" s="4">
        <v>2</v>
      </c>
      <c r="G85" s="4">
        <v>2</v>
      </c>
      <c r="H85" s="14"/>
      <c r="I85" s="4"/>
    </row>
    <row r="86" spans="1:9" ht="15">
      <c r="A86" s="5"/>
      <c r="B86" s="12"/>
      <c r="C86" s="4" t="s">
        <v>15</v>
      </c>
      <c r="D86" s="4">
        <f>1818500+12870500</f>
        <v>14689000</v>
      </c>
      <c r="E86" s="4">
        <f>1805500+12137500</f>
        <v>13943000</v>
      </c>
      <c r="F86" s="4">
        <f>1680000+12803000</f>
        <v>14483000</v>
      </c>
      <c r="G86" s="4">
        <f>1801500+14631500</f>
        <v>16433000</v>
      </c>
      <c r="H86" s="14">
        <f>SUM(D86:G86)</f>
        <v>59548000</v>
      </c>
      <c r="I86" s="4"/>
    </row>
    <row r="87" spans="1:9" ht="15">
      <c r="A87" s="5"/>
      <c r="B87" s="12"/>
      <c r="C87" s="4" t="s">
        <v>16</v>
      </c>
      <c r="D87" s="4">
        <v>3822518</v>
      </c>
      <c r="E87" s="4">
        <v>3605660</v>
      </c>
      <c r="F87" s="4">
        <v>3855520</v>
      </c>
      <c r="G87" s="4">
        <v>4362140</v>
      </c>
      <c r="H87" s="14"/>
      <c r="I87" s="4"/>
    </row>
    <row r="88" spans="1:9" ht="15">
      <c r="A88" s="5"/>
      <c r="B88" s="12"/>
      <c r="C88" s="4" t="s">
        <v>17</v>
      </c>
      <c r="D88" s="4">
        <v>4065328</v>
      </c>
      <c r="E88" s="4">
        <v>3912127</v>
      </c>
      <c r="F88" s="4">
        <v>3812070</v>
      </c>
      <c r="G88" s="4">
        <v>4535837</v>
      </c>
      <c r="H88" s="14"/>
      <c r="I88" s="4"/>
    </row>
    <row r="89" spans="1:9" ht="15">
      <c r="A89" s="5"/>
      <c r="B89" s="12"/>
      <c r="C89" s="4" t="s">
        <v>18</v>
      </c>
      <c r="D89" s="4">
        <v>6801154</v>
      </c>
      <c r="E89" s="4">
        <v>6425213</v>
      </c>
      <c r="F89" s="4">
        <v>6815410</v>
      </c>
      <c r="G89" s="4">
        <v>7535023</v>
      </c>
      <c r="H89" s="14"/>
      <c r="I89" s="4"/>
    </row>
    <row r="90" spans="1:9" ht="15">
      <c r="A90" s="5"/>
      <c r="B90" s="12"/>
      <c r="C90" s="4" t="s">
        <v>19</v>
      </c>
      <c r="D90" s="4">
        <v>25584</v>
      </c>
      <c r="E90" s="4">
        <v>31056</v>
      </c>
      <c r="F90" s="4">
        <v>27840</v>
      </c>
      <c r="G90" s="4">
        <v>27744</v>
      </c>
      <c r="H90" s="14"/>
      <c r="I90" s="4"/>
    </row>
    <row r="91" spans="1:9" ht="15">
      <c r="A91" s="5"/>
      <c r="B91" s="12"/>
      <c r="C91" s="4" t="s">
        <v>20</v>
      </c>
      <c r="D91" s="4">
        <v>23680</v>
      </c>
      <c r="E91" s="4">
        <v>30864</v>
      </c>
      <c r="F91" s="4">
        <v>27840</v>
      </c>
      <c r="G91" s="4">
        <v>28032</v>
      </c>
      <c r="H91" s="14"/>
      <c r="I91" s="4"/>
    </row>
    <row r="92" spans="1:9" ht="15">
      <c r="A92" s="5"/>
      <c r="B92" s="12"/>
      <c r="C92" s="4" t="s">
        <v>21</v>
      </c>
      <c r="D92" s="4">
        <v>0</v>
      </c>
      <c r="E92" s="4">
        <v>0</v>
      </c>
      <c r="F92" s="4">
        <v>0</v>
      </c>
      <c r="G92" s="4">
        <v>0</v>
      </c>
      <c r="H92" s="14"/>
      <c r="I92" s="4"/>
    </row>
    <row r="93" spans="1:9" ht="15.75">
      <c r="A93" s="29" t="s">
        <v>45</v>
      </c>
      <c r="B93" s="30"/>
      <c r="C93" s="2" t="s">
        <v>9</v>
      </c>
      <c r="D93" s="15">
        <f aca="true" t="shared" si="4" ref="D93:G94">D31+D58+D67</f>
        <v>38</v>
      </c>
      <c r="E93" s="15">
        <f t="shared" si="4"/>
        <v>42</v>
      </c>
      <c r="F93" s="15">
        <f t="shared" si="4"/>
        <v>66</v>
      </c>
      <c r="G93" s="15">
        <f t="shared" si="4"/>
        <v>53</v>
      </c>
      <c r="H93" s="16"/>
      <c r="I93" s="4"/>
    </row>
    <row r="94" spans="1:9" ht="15.75">
      <c r="A94" s="5"/>
      <c r="B94" s="12"/>
      <c r="C94" s="4" t="s">
        <v>10</v>
      </c>
      <c r="D94" s="23">
        <f t="shared" si="4"/>
        <v>46975925</v>
      </c>
      <c r="E94" s="23">
        <f t="shared" si="4"/>
        <v>50685166</v>
      </c>
      <c r="F94" s="23">
        <f t="shared" si="4"/>
        <v>55811110</v>
      </c>
      <c r="G94" s="23">
        <f t="shared" si="4"/>
        <v>48136344</v>
      </c>
      <c r="H94" s="28">
        <f>SUM(D94:G94)</f>
        <v>201608545</v>
      </c>
      <c r="I94" s="4"/>
    </row>
    <row r="95" spans="1:9" ht="15.75">
      <c r="A95" s="29" t="s">
        <v>46</v>
      </c>
      <c r="B95" s="30"/>
      <c r="C95" s="2" t="s">
        <v>9</v>
      </c>
      <c r="D95" s="15">
        <f aca="true" t="shared" si="5" ref="D95:G96">D15+D29+D93</f>
        <v>109740</v>
      </c>
      <c r="E95" s="15">
        <f t="shared" si="5"/>
        <v>104664</v>
      </c>
      <c r="F95" s="15">
        <f t="shared" si="5"/>
        <v>121029</v>
      </c>
      <c r="G95" s="15">
        <f t="shared" si="5"/>
        <v>116311</v>
      </c>
      <c r="H95" s="16"/>
      <c r="I95" s="4"/>
    </row>
    <row r="96" spans="1:9" ht="15.75">
      <c r="A96" s="31"/>
      <c r="B96" s="32"/>
      <c r="C96" s="19" t="s">
        <v>10</v>
      </c>
      <c r="D96" s="20">
        <f t="shared" si="5"/>
        <v>155018003.084</v>
      </c>
      <c r="E96" s="20">
        <f t="shared" si="5"/>
        <v>140220045.217</v>
      </c>
      <c r="F96" s="20">
        <f t="shared" si="5"/>
        <v>157432691.53</v>
      </c>
      <c r="G96" s="20">
        <f t="shared" si="5"/>
        <v>138839334.64499998</v>
      </c>
      <c r="H96" s="21">
        <f>H16+H30+H94</f>
        <v>591510074.4760001</v>
      </c>
      <c r="I96" s="4"/>
    </row>
    <row r="97" spans="1:9" ht="15">
      <c r="A97" s="4"/>
      <c r="B97" s="12"/>
      <c r="C97" s="4"/>
      <c r="D97" s="4"/>
      <c r="E97" s="4"/>
      <c r="F97" s="4"/>
      <c r="G97" s="4"/>
      <c r="H97" s="4"/>
      <c r="I97" s="4"/>
    </row>
    <row r="98" spans="1:9" ht="15">
      <c r="A98" s="4"/>
      <c r="B98" s="12"/>
      <c r="C98" s="4"/>
      <c r="D98" s="4"/>
      <c r="E98" s="4"/>
      <c r="F98" s="4"/>
      <c r="G98" s="4"/>
      <c r="H98" s="4"/>
      <c r="I98" s="4"/>
    </row>
    <row r="99" spans="1:9" ht="15">
      <c r="A99" s="4"/>
      <c r="B99" s="12"/>
      <c r="C99" s="4"/>
      <c r="D99" s="4"/>
      <c r="E99" s="4"/>
      <c r="F99" s="4"/>
      <c r="G99" s="4"/>
      <c r="H99" s="4"/>
      <c r="I99" s="4"/>
    </row>
    <row r="100" spans="1:9" ht="15">
      <c r="A100" s="4"/>
      <c r="B100" s="12"/>
      <c r="C100" s="4"/>
      <c r="D100" s="4"/>
      <c r="E100" s="4"/>
      <c r="F100" s="4"/>
      <c r="G100" s="4"/>
      <c r="H100" s="4"/>
      <c r="I100" s="4"/>
    </row>
    <row r="101" spans="1:9" ht="15">
      <c r="A101" s="4"/>
      <c r="B101" s="12"/>
      <c r="C101" s="4"/>
      <c r="D101" s="4"/>
      <c r="E101" s="4"/>
      <c r="F101" s="4"/>
      <c r="G101" s="4"/>
      <c r="H101" s="4"/>
      <c r="I101" s="4"/>
    </row>
    <row r="102" spans="1:9" ht="15">
      <c r="A102" s="4"/>
      <c r="B102" s="12"/>
      <c r="C102" s="4"/>
      <c r="D102" s="4"/>
      <c r="E102" s="4"/>
      <c r="F102" s="4"/>
      <c r="G102" s="4"/>
      <c r="H102" s="4"/>
      <c r="I102" s="4"/>
    </row>
    <row r="103" spans="1:9" ht="15">
      <c r="A103" s="4"/>
      <c r="B103" s="12"/>
      <c r="C103" s="4"/>
      <c r="D103" s="4"/>
      <c r="E103" s="4"/>
      <c r="F103" s="4"/>
      <c r="G103" s="4"/>
      <c r="H103" s="4"/>
      <c r="I103" s="4"/>
    </row>
    <row r="104" spans="1:9" ht="15">
      <c r="A104" s="4"/>
      <c r="B104" s="12"/>
      <c r="C104" s="4"/>
      <c r="D104" s="4"/>
      <c r="E104" s="4"/>
      <c r="F104" s="4"/>
      <c r="G104" s="4"/>
      <c r="H104" s="4"/>
      <c r="I104" s="4"/>
    </row>
    <row r="105" spans="1:9" ht="15">
      <c r="A105" s="4"/>
      <c r="B105" s="12"/>
      <c r="C105" s="4"/>
      <c r="D105" s="4"/>
      <c r="E105" s="4"/>
      <c r="F105" s="4"/>
      <c r="G105" s="4"/>
      <c r="H105" s="4"/>
      <c r="I105" s="4"/>
    </row>
    <row r="106" spans="1:9" ht="15">
      <c r="A106" s="4"/>
      <c r="B106" s="12"/>
      <c r="C106" s="4"/>
      <c r="D106" s="4"/>
      <c r="E106" s="4"/>
      <c r="F106" s="4"/>
      <c r="G106" s="4"/>
      <c r="H106" s="4"/>
      <c r="I106" s="4"/>
    </row>
    <row r="107" spans="1:9" ht="15">
      <c r="A107" s="4"/>
      <c r="B107" s="12"/>
      <c r="C107" s="4"/>
      <c r="D107" s="4"/>
      <c r="E107" s="4"/>
      <c r="F107" s="4"/>
      <c r="G107" s="4"/>
      <c r="H107" s="4"/>
      <c r="I107" s="4"/>
    </row>
    <row r="108" spans="1:9" ht="15">
      <c r="A108" s="4"/>
      <c r="B108" s="12"/>
      <c r="C108" s="4"/>
      <c r="D108" s="4"/>
      <c r="E108" s="4"/>
      <c r="F108" s="4"/>
      <c r="G108" s="4"/>
      <c r="H108" s="4"/>
      <c r="I108" s="4"/>
    </row>
    <row r="109" spans="1:9" ht="15">
      <c r="A109" s="4"/>
      <c r="B109" s="12"/>
      <c r="C109" s="4"/>
      <c r="D109" s="4"/>
      <c r="E109" s="4"/>
      <c r="F109" s="4"/>
      <c r="G109" s="4"/>
      <c r="H109" s="4"/>
      <c r="I109" s="4"/>
    </row>
    <row r="110" spans="1:9" ht="15">
      <c r="A110" s="4"/>
      <c r="B110" s="12"/>
      <c r="C110" s="4"/>
      <c r="D110" s="4"/>
      <c r="E110" s="4"/>
      <c r="F110" s="4"/>
      <c r="G110" s="4"/>
      <c r="H110" s="4"/>
      <c r="I110" s="4"/>
    </row>
    <row r="111" spans="1:9" ht="15">
      <c r="A111" s="4"/>
      <c r="B111" s="12"/>
      <c r="C111" s="4"/>
      <c r="D111" s="4"/>
      <c r="E111" s="4"/>
      <c r="F111" s="4"/>
      <c r="G111" s="4"/>
      <c r="H111" s="4"/>
      <c r="I111" s="4"/>
    </row>
    <row r="112" spans="1:9" ht="15">
      <c r="A112" s="4"/>
      <c r="B112" s="12"/>
      <c r="C112" s="4"/>
      <c r="D112" s="4"/>
      <c r="E112" s="4"/>
      <c r="F112" s="4"/>
      <c r="G112" s="4"/>
      <c r="H112" s="4"/>
      <c r="I112" s="4"/>
    </row>
    <row r="113" spans="1:9" ht="15">
      <c r="A113" s="4"/>
      <c r="B113" s="12"/>
      <c r="C113" s="4"/>
      <c r="D113" s="4"/>
      <c r="E113" s="4"/>
      <c r="F113" s="4"/>
      <c r="G113" s="4"/>
      <c r="H113" s="4"/>
      <c r="I113" s="4"/>
    </row>
    <row r="114" spans="1:9" ht="15">
      <c r="A114" s="4"/>
      <c r="B114" s="12"/>
      <c r="C114" s="4"/>
      <c r="D114" s="4"/>
      <c r="E114" s="4"/>
      <c r="F114" s="4"/>
      <c r="G114" s="4"/>
      <c r="H114" s="4"/>
      <c r="I114" s="4"/>
    </row>
    <row r="115" spans="1:9" ht="15">
      <c r="A115" s="4"/>
      <c r="B115" s="12"/>
      <c r="C115" s="4"/>
      <c r="D115" s="4"/>
      <c r="E115" s="4"/>
      <c r="F115" s="4"/>
      <c r="G115" s="4"/>
      <c r="H115" s="4"/>
      <c r="I115" s="4"/>
    </row>
    <row r="116" spans="1:9" ht="15">
      <c r="A116" s="4"/>
      <c r="B116" s="12"/>
      <c r="C116" s="4"/>
      <c r="D116" s="4"/>
      <c r="E116" s="4"/>
      <c r="F116" s="4"/>
      <c r="G116" s="4"/>
      <c r="H116" s="4"/>
      <c r="I116" s="4"/>
    </row>
    <row r="117" spans="1:9" ht="15">
      <c r="A117" s="4"/>
      <c r="B117" s="12"/>
      <c r="C117" s="4"/>
      <c r="D117" s="4"/>
      <c r="E117" s="4"/>
      <c r="F117" s="4"/>
      <c r="G117" s="4"/>
      <c r="H117" s="4"/>
      <c r="I117" s="4"/>
    </row>
    <row r="118" spans="1:9" ht="15">
      <c r="A118" s="4"/>
      <c r="B118" s="12"/>
      <c r="C118" s="4"/>
      <c r="D118" s="4"/>
      <c r="E118" s="4"/>
      <c r="F118" s="4"/>
      <c r="G118" s="4"/>
      <c r="H118" s="4"/>
      <c r="I118" s="4"/>
    </row>
    <row r="119" spans="1:9" ht="15">
      <c r="A119" s="4"/>
      <c r="B119" s="12"/>
      <c r="C119" s="4"/>
      <c r="D119" s="4"/>
      <c r="E119" s="4"/>
      <c r="F119" s="4"/>
      <c r="G119" s="4"/>
      <c r="H119" s="4"/>
      <c r="I119" s="4"/>
    </row>
    <row r="120" spans="1:9" ht="15">
      <c r="A120" s="4"/>
      <c r="B120" s="12"/>
      <c r="C120" s="4"/>
      <c r="D120" s="4"/>
      <c r="E120" s="4"/>
      <c r="F120" s="4"/>
      <c r="G120" s="4"/>
      <c r="H120" s="4"/>
      <c r="I120" s="4"/>
    </row>
    <row r="121" spans="1:9" ht="15">
      <c r="A121" s="4"/>
      <c r="B121" s="12"/>
      <c r="C121" s="4"/>
      <c r="D121" s="4"/>
      <c r="E121" s="4"/>
      <c r="F121" s="4"/>
      <c r="G121" s="4"/>
      <c r="H121" s="4"/>
      <c r="I121" s="4"/>
    </row>
    <row r="122" spans="1:9" ht="15">
      <c r="A122" s="4"/>
      <c r="B122" s="12"/>
      <c r="C122" s="4"/>
      <c r="D122" s="4"/>
      <c r="E122" s="4"/>
      <c r="F122" s="4"/>
      <c r="G122" s="4"/>
      <c r="H122" s="4"/>
      <c r="I122" s="4"/>
    </row>
    <row r="123" spans="1:9" ht="15">
      <c r="A123" s="4"/>
      <c r="B123" s="12"/>
      <c r="C123" s="4"/>
      <c r="D123" s="4"/>
      <c r="E123" s="4"/>
      <c r="F123" s="4"/>
      <c r="G123" s="4"/>
      <c r="H123" s="4"/>
      <c r="I123" s="4"/>
    </row>
    <row r="124" spans="1:9" ht="15">
      <c r="A124" s="4"/>
      <c r="B124" s="12"/>
      <c r="C124" s="4"/>
      <c r="D124" s="4"/>
      <c r="E124" s="4"/>
      <c r="F124" s="4"/>
      <c r="G124" s="4"/>
      <c r="H124" s="4"/>
      <c r="I124" s="4"/>
    </row>
    <row r="125" spans="1:9" ht="15">
      <c r="A125" s="4"/>
      <c r="B125" s="12"/>
      <c r="C125" s="4"/>
      <c r="D125" s="4"/>
      <c r="E125" s="4"/>
      <c r="F125" s="4"/>
      <c r="G125" s="4"/>
      <c r="H125" s="4"/>
      <c r="I125" s="4"/>
    </row>
    <row r="126" spans="1:9" ht="15">
      <c r="A126" s="4"/>
      <c r="B126" s="12"/>
      <c r="C126" s="4"/>
      <c r="D126" s="4"/>
      <c r="E126" s="4"/>
      <c r="F126" s="4"/>
      <c r="G126" s="4"/>
      <c r="H126" s="4"/>
      <c r="I126" s="4"/>
    </row>
    <row r="127" spans="1:9" ht="15">
      <c r="A127" s="4"/>
      <c r="B127" s="12"/>
      <c r="C127" s="4"/>
      <c r="D127" s="4"/>
      <c r="E127" s="4"/>
      <c r="F127" s="4"/>
      <c r="G127" s="4"/>
      <c r="H127" s="4"/>
      <c r="I127" s="4"/>
    </row>
    <row r="128" spans="1:9" ht="15">
      <c r="A128" s="4"/>
      <c r="B128" s="12"/>
      <c r="C128" s="4"/>
      <c r="D128" s="4"/>
      <c r="E128" s="4"/>
      <c r="F128" s="4"/>
      <c r="G128" s="4"/>
      <c r="H128" s="4"/>
      <c r="I128" s="4"/>
    </row>
    <row r="129" spans="1:9" ht="15">
      <c r="A129" s="4"/>
      <c r="B129" s="12"/>
      <c r="C129" s="4"/>
      <c r="D129" s="4"/>
      <c r="E129" s="4"/>
      <c r="F129" s="4"/>
      <c r="G129" s="4"/>
      <c r="H129" s="4"/>
      <c r="I129" s="4"/>
    </row>
    <row r="130" spans="1:9" ht="15">
      <c r="A130" s="4"/>
      <c r="B130" s="12"/>
      <c r="C130" s="4"/>
      <c r="D130" s="4"/>
      <c r="E130" s="4"/>
      <c r="F130" s="4"/>
      <c r="G130" s="4"/>
      <c r="H130" s="4"/>
      <c r="I130" s="4"/>
    </row>
    <row r="131" spans="1:9" ht="15">
      <c r="A131" s="4"/>
      <c r="B131" s="12"/>
      <c r="C131" s="4"/>
      <c r="D131" s="4"/>
      <c r="E131" s="4"/>
      <c r="F131" s="4"/>
      <c r="G131" s="4"/>
      <c r="H131" s="4"/>
      <c r="I131" s="4"/>
    </row>
    <row r="132" spans="1:9" ht="15">
      <c r="A132" s="4"/>
      <c r="B132" s="12"/>
      <c r="C132" s="4"/>
      <c r="D132" s="4"/>
      <c r="E132" s="4"/>
      <c r="F132" s="4"/>
      <c r="G132" s="4"/>
      <c r="H132" s="4"/>
      <c r="I132" s="4"/>
    </row>
    <row r="133" spans="1:9" ht="15">
      <c r="A133" s="4"/>
      <c r="B133" s="12"/>
      <c r="C133" s="4"/>
      <c r="D133" s="4"/>
      <c r="E133" s="4"/>
      <c r="F133" s="4"/>
      <c r="G133" s="4"/>
      <c r="H133" s="4"/>
      <c r="I133" s="4"/>
    </row>
    <row r="134" spans="1:9" ht="15">
      <c r="A134" s="4"/>
      <c r="B134" s="12"/>
      <c r="C134" s="4"/>
      <c r="D134" s="4"/>
      <c r="E134" s="4"/>
      <c r="F134" s="4"/>
      <c r="G134" s="4"/>
      <c r="H134" s="4"/>
      <c r="I134" s="4"/>
    </row>
    <row r="135" spans="1:9" ht="15">
      <c r="A135" s="4"/>
      <c r="B135" s="12"/>
      <c r="C135" s="4"/>
      <c r="D135" s="4"/>
      <c r="E135" s="4"/>
      <c r="F135" s="4"/>
      <c r="G135" s="4"/>
      <c r="H135" s="4"/>
      <c r="I135" s="4"/>
    </row>
    <row r="136" spans="1:9" ht="15">
      <c r="A136" s="4"/>
      <c r="B136" s="12"/>
      <c r="C136" s="4"/>
      <c r="D136" s="4"/>
      <c r="E136" s="4"/>
      <c r="F136" s="4"/>
      <c r="G136" s="4"/>
      <c r="H136" s="4"/>
      <c r="I136" s="4"/>
    </row>
    <row r="137" spans="1:9" ht="15">
      <c r="A137" s="4"/>
      <c r="B137" s="12"/>
      <c r="C137" s="4"/>
      <c r="D137" s="4"/>
      <c r="E137" s="4"/>
      <c r="F137" s="4"/>
      <c r="G137" s="4"/>
      <c r="H137" s="4"/>
      <c r="I137" s="4"/>
    </row>
    <row r="138" spans="1:9" ht="15">
      <c r="A138" s="4"/>
      <c r="B138" s="12"/>
      <c r="C138" s="4"/>
      <c r="D138" s="4"/>
      <c r="E138" s="4"/>
      <c r="F138" s="4"/>
      <c r="G138" s="4"/>
      <c r="H138" s="4"/>
      <c r="I138" s="4"/>
    </row>
    <row r="139" spans="1:9" ht="15">
      <c r="A139" s="4"/>
      <c r="B139" s="12"/>
      <c r="C139" s="4"/>
      <c r="D139" s="4"/>
      <c r="E139" s="4"/>
      <c r="F139" s="4"/>
      <c r="G139" s="4"/>
      <c r="H139" s="4"/>
      <c r="I139" s="4"/>
    </row>
    <row r="140" spans="1:9" ht="15">
      <c r="A140" s="4"/>
      <c r="B140" s="12"/>
      <c r="C140" s="4"/>
      <c r="D140" s="4"/>
      <c r="E140" s="4"/>
      <c r="F140" s="4"/>
      <c r="G140" s="4"/>
      <c r="H140" s="4"/>
      <c r="I140" s="4"/>
    </row>
    <row r="141" spans="1:9" ht="15">
      <c r="A141" s="4"/>
      <c r="B141" s="12"/>
      <c r="C141" s="4"/>
      <c r="D141" s="4"/>
      <c r="E141" s="4"/>
      <c r="F141" s="4"/>
      <c r="G141" s="4"/>
      <c r="H141" s="4"/>
      <c r="I141" s="4"/>
    </row>
    <row r="142" spans="1:9" ht="15">
      <c r="A142" s="4"/>
      <c r="B142" s="12"/>
      <c r="C142" s="4"/>
      <c r="D142" s="4"/>
      <c r="E142" s="4"/>
      <c r="F142" s="4"/>
      <c r="G142" s="4"/>
      <c r="H142" s="4"/>
      <c r="I142" s="4"/>
    </row>
    <row r="143" spans="1:9" ht="15">
      <c r="A143" s="4"/>
      <c r="B143" s="12"/>
      <c r="C143" s="4"/>
      <c r="D143" s="4"/>
      <c r="E143" s="4"/>
      <c r="F143" s="4"/>
      <c r="G143" s="4"/>
      <c r="H143" s="4"/>
      <c r="I143" s="4"/>
    </row>
    <row r="144" spans="1:9" ht="15">
      <c r="A144" s="4"/>
      <c r="B144" s="12"/>
      <c r="C144" s="4"/>
      <c r="D144" s="4"/>
      <c r="E144" s="4"/>
      <c r="F144" s="4"/>
      <c r="G144" s="4"/>
      <c r="H144" s="4"/>
      <c r="I144" s="4"/>
    </row>
    <row r="145" spans="1:9" ht="15">
      <c r="A145" s="4"/>
      <c r="B145" s="12"/>
      <c r="C145" s="4"/>
      <c r="D145" s="4"/>
      <c r="E145" s="4"/>
      <c r="F145" s="4"/>
      <c r="G145" s="4"/>
      <c r="H145" s="4"/>
      <c r="I145" s="4"/>
    </row>
    <row r="146" spans="1:9" ht="15">
      <c r="A146" s="4"/>
      <c r="B146" s="12"/>
      <c r="C146" s="4"/>
      <c r="D146" s="4"/>
      <c r="E146" s="4"/>
      <c r="F146" s="4"/>
      <c r="G146" s="4"/>
      <c r="H146" s="4"/>
      <c r="I146" s="4"/>
    </row>
    <row r="147" spans="1:9" ht="15">
      <c r="A147" s="4"/>
      <c r="B147" s="12"/>
      <c r="C147" s="4"/>
      <c r="D147" s="4"/>
      <c r="E147" s="4"/>
      <c r="F147" s="4"/>
      <c r="G147" s="4"/>
      <c r="H147" s="4"/>
      <c r="I147" s="4"/>
    </row>
    <row r="148" spans="1:9" ht="15">
      <c r="A148" s="4"/>
      <c r="B148" s="12"/>
      <c r="C148" s="4"/>
      <c r="D148" s="4"/>
      <c r="E148" s="4"/>
      <c r="F148" s="4"/>
      <c r="G148" s="4"/>
      <c r="H148" s="4"/>
      <c r="I148" s="4"/>
    </row>
    <row r="149" spans="1:9" ht="15">
      <c r="A149" s="4"/>
      <c r="B149" s="12"/>
      <c r="C149" s="4"/>
      <c r="D149" s="4"/>
      <c r="E149" s="4"/>
      <c r="F149" s="4"/>
      <c r="G149" s="4"/>
      <c r="H149" s="4"/>
      <c r="I149" s="4"/>
    </row>
    <row r="150" spans="1:9" ht="15">
      <c r="A150" s="4"/>
      <c r="B150" s="12"/>
      <c r="C150" s="4"/>
      <c r="D150" s="4"/>
      <c r="E150" s="4"/>
      <c r="F150" s="4"/>
      <c r="G150" s="4"/>
      <c r="H150" s="4"/>
      <c r="I150" s="4"/>
    </row>
    <row r="151" spans="1:9" ht="15">
      <c r="A151" s="4"/>
      <c r="B151" s="12"/>
      <c r="C151" s="4"/>
      <c r="D151" s="4"/>
      <c r="E151" s="4"/>
      <c r="F151" s="4"/>
      <c r="G151" s="4"/>
      <c r="H151" s="4"/>
      <c r="I151" s="4"/>
    </row>
    <row r="152" spans="1:9" ht="15">
      <c r="A152" s="4"/>
      <c r="B152" s="12"/>
      <c r="C152" s="4"/>
      <c r="D152" s="4"/>
      <c r="E152" s="4"/>
      <c r="F152" s="4"/>
      <c r="G152" s="4"/>
      <c r="H152" s="4"/>
      <c r="I152" s="4"/>
    </row>
    <row r="153" spans="1:9" ht="15">
      <c r="A153" s="4"/>
      <c r="B153" s="12"/>
      <c r="C153" s="4"/>
      <c r="D153" s="4"/>
      <c r="E153" s="4"/>
      <c r="F153" s="4"/>
      <c r="G153" s="4"/>
      <c r="H153" s="4"/>
      <c r="I153" s="4"/>
    </row>
    <row r="154" spans="1:9" ht="15">
      <c r="A154" s="4"/>
      <c r="B154" s="12"/>
      <c r="C154" s="4"/>
      <c r="D154" s="4"/>
      <c r="E154" s="4"/>
      <c r="F154" s="4"/>
      <c r="G154" s="4"/>
      <c r="H154" s="4"/>
      <c r="I154" s="4"/>
    </row>
    <row r="155" spans="1:9" ht="15">
      <c r="A155" s="4"/>
      <c r="B155" s="12"/>
      <c r="C155" s="4"/>
      <c r="D155" s="4"/>
      <c r="E155" s="4"/>
      <c r="F155" s="4"/>
      <c r="G155" s="4"/>
      <c r="H155" s="4"/>
      <c r="I155" s="4"/>
    </row>
    <row r="156" spans="1:9" ht="15">
      <c r="A156" s="4"/>
      <c r="B156" s="12"/>
      <c r="C156" s="4"/>
      <c r="D156" s="4"/>
      <c r="E156" s="4"/>
      <c r="F156" s="4"/>
      <c r="G156" s="4"/>
      <c r="H156" s="4"/>
      <c r="I156" s="4"/>
    </row>
    <row r="157" spans="1:9" ht="15">
      <c r="A157" s="4"/>
      <c r="B157" s="12"/>
      <c r="C157" s="4"/>
      <c r="D157" s="4"/>
      <c r="E157" s="4"/>
      <c r="F157" s="4"/>
      <c r="G157" s="4"/>
      <c r="H157" s="4"/>
      <c r="I157" s="4"/>
    </row>
  </sheetData>
  <printOptions/>
  <pageMargins left="0.5" right="0.5" top="0.5" bottom="0.5" header="0.5" footer="0.5"/>
  <pageSetup horizontalDpi="300" verticalDpi="3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Maine Public Utilities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Margie Force</dc:creator>
  <cp:keywords/>
  <dc:description/>
  <cp:lastModifiedBy>Margie Force</cp:lastModifiedBy>
  <cp:lastPrinted>1999-09-29T12:44:45Z</cp:lastPrinted>
  <dcterms:created xsi:type="dcterms:W3CDTF">1999-09-28T20:33:32Z</dcterms:created>
  <dcterms:modified xsi:type="dcterms:W3CDTF">1999-09-29T12:44:50Z</dcterms:modified>
  <cp:category/>
  <cp:version/>
  <cp:contentType/>
  <cp:contentStatus/>
</cp:coreProperties>
</file>